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65146" yWindow="15" windowWidth="15300" windowHeight="8400" activeTab="0"/>
  </bookViews>
  <sheets>
    <sheet name="Your Predictions" sheetId="1" r:id="rId1"/>
    <sheet name="The Results" sheetId="2" r:id="rId2"/>
  </sheets>
  <definedNames>
    <definedName name="AngA" localSheetId="1">'The Results'!$F$46,'The Results'!$F$29,'The Results'!$G$14</definedName>
    <definedName name="AngA">'Your Predictions'!$F$46,'Your Predictions'!$F$29,'Your Predictions'!$G$14</definedName>
    <definedName name="AngF" localSheetId="1">'The Results'!$F$14,'The Results'!$G$29,'The Results'!$G$46</definedName>
    <definedName name="AngF">'Your Predictions'!$F$14,'Your Predictions'!$G$29,'Your Predictions'!$G$46</definedName>
    <definedName name="ArgA" localSheetId="1">'The Results'!$G$11,'The Results'!$G$27,'The Results'!$F$43</definedName>
    <definedName name="ArgA">'Your Predictions'!$G$11,'Your Predictions'!$G$27,'Your Predictions'!$F$43</definedName>
    <definedName name="ArgF" localSheetId="1">'The Results'!$F$11,'The Results'!$F$27,'The Results'!$G$43</definedName>
    <definedName name="ArgF">'Your Predictions'!$F$11,'Your Predictions'!$F$27,'Your Predictions'!$G$43</definedName>
    <definedName name="AusA" localSheetId="1">'The Results'!$G$17,'The Results'!$F$33,'The Results'!$F$50</definedName>
    <definedName name="AusA">'Your Predictions'!$G$17,'Your Predictions'!$F$33,'Your Predictions'!$F$50</definedName>
    <definedName name="AusF" localSheetId="1">'The Results'!$F$17,'The Results'!$G$33,'The Results'!$G$50</definedName>
    <definedName name="AusF">'Your Predictions'!$F$17,'Your Predictions'!$G$33,'Your Predictions'!$G$50</definedName>
    <definedName name="BraA" localSheetId="1">'The Results'!$G$18,'The Results'!$G$33,'The Results'!$F$49</definedName>
    <definedName name="BraA">'Your Predictions'!$G$18,'Your Predictions'!$G$33,'Your Predictions'!$F$49</definedName>
    <definedName name="BraF" localSheetId="1">'The Results'!$F$18,'The Results'!$F$33,'The Results'!$G$49</definedName>
    <definedName name="BraF">'Your Predictions'!$F$18,'Your Predictions'!$F$33,'Your Predictions'!$G$49</definedName>
    <definedName name="CosA" localSheetId="1">'The Results'!$F$7,'The Results'!$F$24,'The Results'!$G$40</definedName>
    <definedName name="CosA">'Your Predictions'!$F$7,'Your Predictions'!$F$24,'Your Predictions'!$G$40</definedName>
    <definedName name="CosF" localSheetId="1">'The Results'!$G$7,'The Results'!$G$24,'The Results'!$F$40</definedName>
    <definedName name="CosF">'Your Predictions'!$G$7,'Your Predictions'!$G$24,'Your Predictions'!$F$40</definedName>
    <definedName name="CroA" localSheetId="1">'The Results'!$F$18,'The Results'!$F$34,'The Results'!$G$50</definedName>
    <definedName name="CroA">'Your Predictions'!$F$18,'Your Predictions'!$F$34,'Your Predictions'!$G$50</definedName>
    <definedName name="CroF" localSheetId="1">'The Results'!$G$18,'The Results'!$G$34,'The Results'!$F$50</definedName>
    <definedName name="CroF">'Your Predictions'!$G$18,'Your Predictions'!$G$34,'Your Predictions'!$F$50</definedName>
    <definedName name="CzeA" localSheetId="1">'The Results'!$F$16,'The Results'!$G$32,'The Results'!$G$47</definedName>
    <definedName name="CzeA">'Your Predictions'!$F$16,'Your Predictions'!$G$32,'Your Predictions'!$G$47</definedName>
    <definedName name="CzeF" localSheetId="1">'The Results'!$F$47,'The Results'!$F$32,'The Results'!$G$16</definedName>
    <definedName name="CzeF">'Your Predictions'!$F$47,'Your Predictions'!$F$32,'Your Predictions'!$G$16</definedName>
    <definedName name="EcuA" localSheetId="1">'The Results'!$F$8,'The Results'!$G$24,'The Results'!$G$39</definedName>
    <definedName name="EcuA">'Your Predictions'!$F$8,'Your Predictions'!$G$24,'Your Predictions'!$G$39</definedName>
    <definedName name="EcuF" localSheetId="1">'The Results'!$G$8,'The Results'!$F$24,'The Results'!$F$39</definedName>
    <definedName name="EcuF">'Your Predictions'!$G$8,'Your Predictions'!$F$24,'Your Predictions'!$F$39</definedName>
    <definedName name="EnglandA" localSheetId="1">'The Results'!$G$9,'The Results'!$G$25,'The Results'!$F$41</definedName>
    <definedName name="EnglandA">'Your Predictions'!$G$9,'Your Predictions'!$G$25,'Your Predictions'!$F$41</definedName>
    <definedName name="EnglandF" localSheetId="1">'The Results'!$F$9,'The Results'!$F$25,'The Results'!$G$41</definedName>
    <definedName name="EnglandF">'Your Predictions'!$F$9,'Your Predictions'!$F$25,'Your Predictions'!$G$41</definedName>
    <definedName name="FraA" localSheetId="1">'The Results'!$G$19,'The Results'!$G$35,'The Results'!$F$51</definedName>
    <definedName name="FraA">'Your Predictions'!$G$19,'Your Predictions'!$G$35,'Your Predictions'!$F$51</definedName>
    <definedName name="FraF" localSheetId="1">'The Results'!$F$19,'The Results'!$F$35,'The Results'!$G$51</definedName>
    <definedName name="FraF">'Your Predictions'!$F$19,'Your Predictions'!$F$35,'Your Predictions'!$G$51</definedName>
    <definedName name="GermanyA" localSheetId="1">'The Results'!$G$7,'The Results'!$G$23,'The Results'!$F$39</definedName>
    <definedName name="GermanyA">'Your Predictions'!$G$7,'Your Predictions'!$G$23,'Your Predictions'!$F$39</definedName>
    <definedName name="GermanyF" localSheetId="1">'The Results'!$F$7,'The Results'!$F$23,'The Results'!$G$39</definedName>
    <definedName name="GermanyF">'Your Predictions'!$F$7,'Your Predictions'!$F$23,'Your Predictions'!$G$39</definedName>
    <definedName name="GhaA" localSheetId="1">'The Results'!$F$15,'The Results'!$F$32,'The Results'!$G$48</definedName>
    <definedName name="GhaA">'Your Predictions'!$F$15,'Your Predictions'!$F$32,'Your Predictions'!$G$48</definedName>
    <definedName name="GhaF" localSheetId="1">'The Results'!$G$15,'The Results'!$G$32,'The Results'!$F$48</definedName>
    <definedName name="GhaF">'Your Predictions'!$G$15,'Your Predictions'!$G$32,'Your Predictions'!$F$48</definedName>
    <definedName name="GoalsPred">'Your Predictions'!$F$7:$G$30</definedName>
    <definedName name="GoalsResult">#REF!</definedName>
    <definedName name="HolA" localSheetId="1">'The Results'!$G$43,'The Results'!$G$28,'The Results'!$F$12</definedName>
    <definedName name="HolA">'Your Predictions'!$G$43,'Your Predictions'!$G$28,'Your Predictions'!$F$12</definedName>
    <definedName name="HolF" localSheetId="1">'The Results'!$G$12,'The Results'!$F$28,'The Results'!$F$43</definedName>
    <definedName name="HolF">'Your Predictions'!$G$12,'Your Predictions'!$F$28,'Your Predictions'!$F$43</definedName>
    <definedName name="IraA" localSheetId="1">'The Results'!$F$13,'The Results'!$F$30,'The Results'!$G$46</definedName>
    <definedName name="IraA">'Your Predictions'!$F$13,'Your Predictions'!$F$30,'Your Predictions'!$G$46</definedName>
    <definedName name="IraF" localSheetId="1">'The Results'!$G$13,'The Results'!$G$30,'The Results'!$F$46</definedName>
    <definedName name="IraF">'Your Predictions'!$G$13,'Your Predictions'!$G$30,'Your Predictions'!$F$46</definedName>
    <definedName name="ItaA" localSheetId="1">'The Results'!$G$15,'The Results'!$G$31,'The Results'!$F$47</definedName>
    <definedName name="ItaA">'Your Predictions'!$G$15,'Your Predictions'!$G$31,'Your Predictions'!$F$47</definedName>
    <definedName name="ItaF" localSheetId="1">'The Results'!$F$15,'The Results'!$F$31,'The Results'!$G$47</definedName>
    <definedName name="ItaF">'Your Predictions'!$F$15,'Your Predictions'!$F$31,'Your Predictions'!$G$47</definedName>
    <definedName name="IvoA" localSheetId="1">'The Results'!$F$11,'The Results'!$F$28,'The Results'!$G$44</definedName>
    <definedName name="IvoA">'Your Predictions'!$F$11,'Your Predictions'!$F$28,'Your Predictions'!$G$44</definedName>
    <definedName name="IvoF" localSheetId="1">'The Results'!$G$11,'The Results'!$G$28,'The Results'!$F$44</definedName>
    <definedName name="IvoF">'Your Predictions'!$G$11,'Your Predictions'!$G$28,'Your Predictions'!$F$44</definedName>
    <definedName name="JapA" localSheetId="1">'The Results'!$F$17,'The Results'!$G$34,'The Results'!$G$49</definedName>
    <definedName name="JapA">'Your Predictions'!$F$17,'Your Predictions'!$G$34,'Your Predictions'!$G$49</definedName>
    <definedName name="JapF" localSheetId="1">'The Results'!$G$17,'The Results'!$F$34,'The Results'!$F$49</definedName>
    <definedName name="JapF">'Your Predictions'!$G$17,'Your Predictions'!$F$34,'Your Predictions'!$F$49</definedName>
    <definedName name="losers" localSheetId="1">'The Results'!$AL$7:$AL$91</definedName>
    <definedName name="losers">'Your Predictions'!$AL$7:$AL$91</definedName>
    <definedName name="MexA" localSheetId="1">'The Results'!$G$13,'The Results'!$G$29,'The Results'!$F$45</definedName>
    <definedName name="MexA">'Your Predictions'!$G$13,'Your Predictions'!$G$29,'Your Predictions'!$F$45</definedName>
    <definedName name="MexF" localSheetId="1">'The Results'!$F$13,'The Results'!$F$29,'The Results'!$G$45</definedName>
    <definedName name="MexF">'Your Predictions'!$F$13,'Your Predictions'!$F$29,'Your Predictions'!$G$45</definedName>
    <definedName name="ParA" localSheetId="1">'The Results'!$F$9,'The Results'!$F$26,'The Results'!$G$42</definedName>
    <definedName name="ParA">'Your Predictions'!$F$9,'Your Predictions'!$F$26,'Your Predictions'!$G$42</definedName>
    <definedName name="ParF" localSheetId="1">'The Results'!$G$9,'The Results'!$G$26,'The Results'!$F$42</definedName>
    <definedName name="ParF">'Your Predictions'!$G$9,'Your Predictions'!$G$26,'Your Predictions'!$F$42</definedName>
    <definedName name="PolA" localSheetId="1">'The Results'!$G$8,'The Results'!$F$23,'The Results'!$F$40</definedName>
    <definedName name="PolA">'Your Predictions'!$G$8,'Your Predictions'!$F$23,'Your Predictions'!$F$40</definedName>
    <definedName name="PolF" localSheetId="1">'The Results'!$F$8,'The Results'!$G$23,'The Results'!$G$40</definedName>
    <definedName name="PolF">'Your Predictions'!$F$8,'Your Predictions'!$G$23,'Your Predictions'!$G$40</definedName>
    <definedName name="PorA" localSheetId="1">'The Results'!$F$14,'The Results'!$G$30,'The Results'!$G$45</definedName>
    <definedName name="PorA">'Your Predictions'!$F$14,'Your Predictions'!$G$30,'Your Predictions'!$G$45</definedName>
    <definedName name="PorF" localSheetId="1">'The Results'!$G$14,'The Results'!$F$30,'The Results'!$F$45</definedName>
    <definedName name="PorF">'Your Predictions'!$G$14,'Your Predictions'!$F$30,'Your Predictions'!$F$45</definedName>
    <definedName name="SauA" localSheetId="1">'The Results'!$F$22,'The Results'!$G$38,'The Results'!$G$53</definedName>
    <definedName name="SauA">'Your Predictions'!$F$22,'Your Predictions'!$G$38,'Your Predictions'!$G$53</definedName>
    <definedName name="SauF" localSheetId="1">'The Results'!$G$22,'The Results'!$F$38,'The Results'!$F$53</definedName>
    <definedName name="SauF">'Your Predictions'!$G$22,'Your Predictions'!$F$38,'Your Predictions'!$F$53</definedName>
    <definedName name="SerA" localSheetId="1">'The Results'!$G$12,'The Results'!$F$27,'The Results'!$F$44</definedName>
    <definedName name="SerA">'Your Predictions'!$G$12,'Your Predictions'!$F$27,'Your Predictions'!$F$44</definedName>
    <definedName name="SerF" localSheetId="1">'The Results'!$G$44,'The Results'!$G$27,'The Results'!$F$12</definedName>
    <definedName name="SerF">'Your Predictions'!$G$44,'Your Predictions'!$G$27,'Your Predictions'!$F$12</definedName>
    <definedName name="SouA" localSheetId="1">'The Results'!$G$20,'The Results'!$F$35,'The Results'!$F$52</definedName>
    <definedName name="SouA">'Your Predictions'!$G$20,'Your Predictions'!$F$35,'Your Predictions'!$F$52</definedName>
    <definedName name="souf" localSheetId="1">'The Results'!$F$20,'The Results'!$G$35,'The Results'!$G$52</definedName>
    <definedName name="souf">'Your Predictions'!$F$20,'Your Predictions'!$G$35,'Your Predictions'!$G$52</definedName>
    <definedName name="SpaA" localSheetId="1">'The Results'!$G$21,'The Results'!$G$37,'The Results'!$F$53</definedName>
    <definedName name="SpaA">'Your Predictions'!$G$21,'Your Predictions'!$G$37,'Your Predictions'!$F$53</definedName>
    <definedName name="SpaF" localSheetId="1">'The Results'!$F$21,'The Results'!$F$37,'The Results'!$G$53</definedName>
    <definedName name="SpaF">'Your Predictions'!$F$21,'Your Predictions'!$F$37,'Your Predictions'!$G$53</definedName>
    <definedName name="SweA" localSheetId="1">'The Results'!$F$10,'The Results'!$G$26,'The Results'!$G$41</definedName>
    <definedName name="SweA">'Your Predictions'!$F$10,'Your Predictions'!$G$26,'Your Predictions'!$G$41</definedName>
    <definedName name="SweF" localSheetId="1">'The Results'!$G$10,'The Results'!$F$26,'The Results'!$F$41</definedName>
    <definedName name="SweF">'Your Predictions'!$G$10,'Your Predictions'!$F$26,'Your Predictions'!$F$41</definedName>
    <definedName name="SwiA" localSheetId="1">'The Results'!$F$19,'The Results'!$F$36,'The Results'!$G$52</definedName>
    <definedName name="SwiA">'Your Predictions'!$F$19,'Your Predictions'!$F$36,'Your Predictions'!$G$52</definedName>
    <definedName name="SwiF" localSheetId="1">'The Results'!$G$19,'The Results'!$G$36,'The Results'!$F$52</definedName>
    <definedName name="SwiF">'Your Predictions'!$G$19,'Your Predictions'!$G$36,'Your Predictions'!$F$52</definedName>
    <definedName name="TogA" localSheetId="1">'The Results'!$F$20,'The Results'!$G$36,'The Results'!$G$51</definedName>
    <definedName name="TogA">'Your Predictions'!$F$20,'Your Predictions'!$G$36,'Your Predictions'!$G$51</definedName>
    <definedName name="TogF" localSheetId="1">'The Results'!$G$20,'The Results'!$F$36,'The Results'!$F$51</definedName>
    <definedName name="TogF">'Your Predictions'!$G$20,'Your Predictions'!$F$36,'Your Predictions'!$F$51</definedName>
    <definedName name="TriA" localSheetId="1">'The Results'!$G$10,'The Results'!$F$25,'The Results'!$F$42</definedName>
    <definedName name="TriA">'Your Predictions'!$G$10,'Your Predictions'!$F$25,'Your Predictions'!$F$42</definedName>
    <definedName name="TriF" localSheetId="1">'The Results'!$F$10,'The Results'!$G$42,'The Results'!$G$25</definedName>
    <definedName name="TriF">'Your Predictions'!$F$10,'Your Predictions'!$G$42,'Your Predictions'!$G$25</definedName>
    <definedName name="TunA" localSheetId="1">'The Results'!$F$54,'The Results'!$F$37,'The Results'!$G$22</definedName>
    <definedName name="TunA">'Your Predictions'!$F$54,'Your Predictions'!$F$37,'Your Predictions'!$G$22</definedName>
    <definedName name="TunF" localSheetId="1">'The Results'!$F$22,'The Results'!$G$37,'The Results'!$G$54</definedName>
    <definedName name="TunF">'Your Predictions'!$F$22,'Your Predictions'!$G$37,'Your Predictions'!$G$54</definedName>
    <definedName name="UkrA" localSheetId="1">'The Results'!$F$21,'The Results'!$F$38,'The Results'!$G$54</definedName>
    <definedName name="UkrA">'Your Predictions'!$F$21,'Your Predictions'!$F$38,'Your Predictions'!$G$54</definedName>
    <definedName name="UkrF" localSheetId="1">'The Results'!$G$21,'The Results'!$G$38,'The Results'!$F$54</definedName>
    <definedName name="UkrF">'Your Predictions'!$G$21,'Your Predictions'!$G$38,'Your Predictions'!$F$54</definedName>
    <definedName name="USAA" localSheetId="1">'The Results'!$G$16,'The Results'!$F$31,'The Results'!$F$48</definedName>
    <definedName name="USAA">'Your Predictions'!$G$16,'Your Predictions'!$F$31,'Your Predictions'!$F$48</definedName>
    <definedName name="USAF" localSheetId="1">'The Results'!$F$16,'The Results'!$G$31,'The Results'!$G$48</definedName>
    <definedName name="USAF">'Your Predictions'!$F$16,'Your Predictions'!$G$31,'Your Predictions'!$G$48</definedName>
    <definedName name="winners" localSheetId="1">'The Results'!$AK$7:$AK$91</definedName>
    <definedName name="winners">'Your Predictions'!$AK$7:$AK$91</definedName>
  </definedNames>
  <calcPr fullCalcOnLoad="1"/>
</workbook>
</file>

<file path=xl/sharedStrings.xml><?xml version="1.0" encoding="utf-8"?>
<sst xmlns="http://schemas.openxmlformats.org/spreadsheetml/2006/main" count="777" uniqueCount="104">
  <si>
    <t>desktop chart created by</t>
  </si>
  <si>
    <t>days to go</t>
  </si>
  <si>
    <t>please email this file to your friends and colleagues!</t>
  </si>
  <si>
    <t>Group Stage</t>
  </si>
  <si>
    <t>Tables</t>
  </si>
  <si>
    <t>Date</t>
  </si>
  <si>
    <t>Group A</t>
  </si>
  <si>
    <t>P</t>
  </si>
  <si>
    <t>W</t>
  </si>
  <si>
    <t>D</t>
  </si>
  <si>
    <t>L</t>
  </si>
  <si>
    <t>F</t>
  </si>
  <si>
    <t>A</t>
  </si>
  <si>
    <t>GD</t>
  </si>
  <si>
    <t>PTS</t>
  </si>
  <si>
    <t>win</t>
  </si>
  <si>
    <t>lose</t>
  </si>
  <si>
    <t>gd</t>
  </si>
  <si>
    <t>Portugal</t>
  </si>
  <si>
    <t>Spain</t>
  </si>
  <si>
    <t>Switzerland</t>
  </si>
  <si>
    <t>Croatia</t>
  </si>
  <si>
    <t>France</t>
  </si>
  <si>
    <t>England</t>
  </si>
  <si>
    <t>Italy</t>
  </si>
  <si>
    <t>Group B</t>
  </si>
  <si>
    <t>Sweden</t>
  </si>
  <si>
    <t>Czech Republic</t>
  </si>
  <si>
    <t>Germany</t>
  </si>
  <si>
    <t>Group C</t>
  </si>
  <si>
    <t xml:space="preserve">the UK corporate 5-a-side </t>
  </si>
  <si>
    <t xml:space="preserve">championships </t>
  </si>
  <si>
    <t>Group D</t>
  </si>
  <si>
    <t>Quarterfinals</t>
  </si>
  <si>
    <t>Semi Finals</t>
  </si>
  <si>
    <t>Final</t>
  </si>
  <si>
    <t>Winner:</t>
  </si>
  <si>
    <t>pen w</t>
  </si>
  <si>
    <t/>
  </si>
  <si>
    <t>Enter Your Predictions on This Sheet</t>
  </si>
  <si>
    <t>totals</t>
  </si>
  <si>
    <t>difference</t>
  </si>
  <si>
    <t>results in</t>
  </si>
  <si>
    <t>current diff</t>
  </si>
  <si>
    <t>Result Prediction Points</t>
  </si>
  <si>
    <t>Place Prediction Points</t>
  </si>
  <si>
    <t>Goal Prediction Points</t>
  </si>
  <si>
    <t>Top Corner Leagues in London</t>
  </si>
  <si>
    <t xml:space="preserve">5 Runners up will win </t>
  </si>
  <si>
    <t>Top Prize</t>
  </si>
  <si>
    <t>World Cup 2006</t>
  </si>
  <si>
    <t>Top Corner Predictor</t>
  </si>
  <si>
    <t>Costa Rica</t>
  </si>
  <si>
    <t>Poland</t>
  </si>
  <si>
    <t>Ecuador</t>
  </si>
  <si>
    <t>Paraguay</t>
  </si>
  <si>
    <t>Trinidad &amp; Tobago</t>
  </si>
  <si>
    <t>Ivory Coast</t>
  </si>
  <si>
    <t>Serbia &amp; Montenegro</t>
  </si>
  <si>
    <t>Holland</t>
  </si>
  <si>
    <t>Mexico</t>
  </si>
  <si>
    <t>Iran</t>
  </si>
  <si>
    <t>Angola</t>
  </si>
  <si>
    <t>Ghana</t>
  </si>
  <si>
    <t>USA</t>
  </si>
  <si>
    <t>Australia</t>
  </si>
  <si>
    <t>Japan</t>
  </si>
  <si>
    <t>South Korea</t>
  </si>
  <si>
    <t>Togo</t>
  </si>
  <si>
    <t>Ukraine</t>
  </si>
  <si>
    <t>Tunisia</t>
  </si>
  <si>
    <t>Saudi Arabia</t>
  </si>
  <si>
    <t>Argentina</t>
  </si>
  <si>
    <t>Fri</t>
  </si>
  <si>
    <t>Sat</t>
  </si>
  <si>
    <t>Sun</t>
  </si>
  <si>
    <t>Mon</t>
  </si>
  <si>
    <t>Tue</t>
  </si>
  <si>
    <t>Wed</t>
  </si>
  <si>
    <t>Thu</t>
  </si>
  <si>
    <t>Round of 16</t>
  </si>
  <si>
    <t>Group E</t>
  </si>
  <si>
    <t>Group F</t>
  </si>
  <si>
    <t>Brazil</t>
  </si>
  <si>
    <t>Group G</t>
  </si>
  <si>
    <t>Group H</t>
  </si>
  <si>
    <t>QF</t>
  </si>
  <si>
    <t>SF</t>
  </si>
  <si>
    <t>B</t>
  </si>
  <si>
    <t>C</t>
  </si>
  <si>
    <t>PEN W</t>
  </si>
  <si>
    <t>goals so far</t>
  </si>
  <si>
    <t>I</t>
  </si>
  <si>
    <t>II</t>
  </si>
  <si>
    <t>Bonus Questions</t>
  </si>
  <si>
    <t>Unexpected early exit …</t>
  </si>
  <si>
    <t>The new Greece …</t>
  </si>
  <si>
    <t>Sports Holidays</t>
  </si>
  <si>
    <t>Enter The Results on This Sheet</t>
  </si>
  <si>
    <t>The World League</t>
  </si>
  <si>
    <t>5-a-side League, Camden</t>
  </si>
  <si>
    <t>Take on the world!</t>
  </si>
  <si>
    <t>Potential banana-skin …</t>
  </si>
  <si>
    <t>predict the unpredictable!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</si>
</sst>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0"/>
    <numFmt numFmtId="179" formatCode="0.0"/>
    <numFmt numFmtId="180" formatCode="&quot;Yes&quot;;&quot;Yes&quot;;&quot;No&quot;"/>
    <numFmt numFmtId="181" formatCode="&quot;True&quot;;&quot;True&quot;;&quot;False&quot;"/>
    <numFmt numFmtId="182" formatCode="&quot;On&quot;;&quot;On&quot;;&quot;Off&quot;"/>
    <numFmt numFmtId="183" formatCode="mmm\-yyyy"/>
    <numFmt numFmtId="184" formatCode="[$€-2]\ #,##0.00_);[Red]\([$€-2]\ #,##0.00\)"/>
  </numFmts>
  <fonts count="57">
    <font>
      <sz val="10"/>
      <name val="Arial"/>
      <family val="0"/>
    </font>
    <font>
      <sz val="12"/>
      <name val="Bradley Hand ITC"/>
      <family val="4"/>
    </font>
    <font>
      <u val="single"/>
      <sz val="10"/>
      <color indexed="12"/>
      <name val="Arial"/>
      <family val="0"/>
    </font>
    <font>
      <sz val="8"/>
      <name val="Arial Narrow"/>
      <family val="2"/>
    </font>
    <font>
      <sz val="8"/>
      <color indexed="55"/>
      <name val="Arial Narrow"/>
      <family val="2"/>
    </font>
    <font>
      <sz val="8"/>
      <color indexed="9"/>
      <name val="Arial Narrow"/>
      <family val="2"/>
    </font>
    <font>
      <sz val="10"/>
      <name val="Arial Narrow"/>
      <family val="2"/>
    </font>
    <font>
      <sz val="36"/>
      <name val="Arial Narrow"/>
      <family val="2"/>
    </font>
    <font>
      <sz val="8"/>
      <color indexed="10"/>
      <name val="Arial Narrow"/>
      <family val="2"/>
    </font>
    <font>
      <sz val="20"/>
      <name val="Arial Narrow"/>
      <family val="2"/>
    </font>
    <font>
      <b/>
      <sz val="8"/>
      <name val="Arial Narrow"/>
      <family val="2"/>
    </font>
    <font>
      <b/>
      <sz val="8"/>
      <color indexed="9"/>
      <name val="Arial Narrow"/>
      <family val="2"/>
    </font>
    <font>
      <b/>
      <sz val="14"/>
      <name val="Arial Narrow"/>
      <family val="2"/>
    </font>
    <font>
      <b/>
      <sz val="10"/>
      <name val="Arial Narrow"/>
      <family val="2"/>
    </font>
    <font>
      <b/>
      <sz val="8"/>
      <color indexed="55"/>
      <name val="Arial Narrow"/>
      <family val="2"/>
    </font>
    <font>
      <b/>
      <sz val="8"/>
      <color indexed="10"/>
      <name val="Arial Narrow"/>
      <family val="2"/>
    </font>
    <font>
      <sz val="8"/>
      <color indexed="12"/>
      <name val="Arial Narrow"/>
      <family val="2"/>
    </font>
    <font>
      <sz val="8"/>
      <color indexed="21"/>
      <name val="Arial Narrow"/>
      <family val="2"/>
    </font>
    <font>
      <sz val="8"/>
      <color indexed="53"/>
      <name val="Arial Narrow"/>
      <family val="2"/>
    </font>
    <font>
      <sz val="8"/>
      <color indexed="61"/>
      <name val="Arial Narrow"/>
      <family val="2"/>
    </font>
    <font>
      <sz val="8"/>
      <color indexed="14"/>
      <name val="Arial Narrow"/>
      <family val="2"/>
    </font>
    <font>
      <sz val="10"/>
      <color indexed="55"/>
      <name val="Arial Narrow"/>
      <family val="2"/>
    </font>
    <font>
      <u val="single"/>
      <sz val="10"/>
      <color indexed="12"/>
      <name val="Arial Narrow"/>
      <family val="2"/>
    </font>
    <font>
      <sz val="8"/>
      <color indexed="22"/>
      <name val="Arial Narrow"/>
      <family val="2"/>
    </font>
    <font>
      <sz val="10"/>
      <color indexed="9"/>
      <name val="Arial Narrow"/>
      <family val="2"/>
    </font>
    <font>
      <i/>
      <sz val="8"/>
      <name val="Arial Narrow"/>
      <family val="2"/>
    </font>
    <font>
      <sz val="8"/>
      <color indexed="23"/>
      <name val="Arial Narrow"/>
      <family val="2"/>
    </font>
    <font>
      <b/>
      <sz val="11"/>
      <color indexed="9"/>
      <name val="Arial Narrow"/>
      <family val="2"/>
    </font>
    <font>
      <b/>
      <sz val="14"/>
      <color indexed="55"/>
      <name val="Eras Demi ITC"/>
      <family val="2"/>
    </font>
    <font>
      <b/>
      <sz val="8"/>
      <color indexed="55"/>
      <name val="Eras Demi ITC"/>
      <family val="2"/>
    </font>
    <font>
      <sz val="10"/>
      <color indexed="55"/>
      <name val="Eras Demi ITC"/>
      <family val="2"/>
    </font>
    <font>
      <b/>
      <sz val="8"/>
      <color indexed="9"/>
      <name val="Eras Demi ITC"/>
      <family val="2"/>
    </font>
    <font>
      <sz val="8"/>
      <color indexed="55"/>
      <name val="Eras Demi ITC"/>
      <family val="2"/>
    </font>
    <font>
      <sz val="20"/>
      <color indexed="55"/>
      <name val="Eras Demi ITC"/>
      <family val="2"/>
    </font>
    <font>
      <b/>
      <sz val="16"/>
      <color indexed="9"/>
      <name val="Eras Demi ITC"/>
      <family val="2"/>
    </font>
    <font>
      <sz val="10"/>
      <color indexed="10"/>
      <name val="Arial Narrow"/>
      <family val="2"/>
    </font>
    <font>
      <sz val="14"/>
      <name val="Arial Narrow"/>
      <family val="2"/>
    </font>
    <font>
      <sz val="8"/>
      <name val="Verdana"/>
      <family val="2"/>
    </font>
    <font>
      <u val="single"/>
      <sz val="10"/>
      <color indexed="36"/>
      <name val="Arial"/>
      <family val="0"/>
    </font>
    <font>
      <b/>
      <sz val="18"/>
      <color indexed="52"/>
      <name val="Arial Narrow"/>
      <family val="2"/>
    </font>
    <font>
      <b/>
      <sz val="18"/>
      <color indexed="50"/>
      <name val="Arial Narrow"/>
      <family val="2"/>
    </font>
    <font>
      <sz val="16"/>
      <name val="Arial Narrow"/>
      <family val="2"/>
    </font>
    <font>
      <b/>
      <sz val="10"/>
      <color indexed="52"/>
      <name val="Arial Narrow"/>
      <family val="2"/>
    </font>
    <font>
      <b/>
      <sz val="18"/>
      <color indexed="9"/>
      <name val="Arial"/>
      <family val="2"/>
    </font>
    <font>
      <b/>
      <sz val="12"/>
      <color indexed="10"/>
      <name val="Arial Narrow"/>
      <family val="2"/>
    </font>
    <font>
      <sz val="9"/>
      <name val="Arial Narrow"/>
      <family val="2"/>
    </font>
    <font>
      <sz val="14"/>
      <color indexed="55"/>
      <name val="Eras Demi ITC"/>
      <family val="2"/>
    </font>
    <font>
      <b/>
      <sz val="18"/>
      <color indexed="9"/>
      <name val="Eras Demi ITC"/>
      <family val="2"/>
    </font>
    <font>
      <sz val="20"/>
      <name val="Arial Black"/>
      <family val="2"/>
    </font>
    <font>
      <b/>
      <sz val="26"/>
      <name val="Arial Black"/>
      <family val="2"/>
    </font>
    <font>
      <sz val="36"/>
      <name val="Eras Demi ITC"/>
      <family val="2"/>
    </font>
    <font>
      <sz val="8"/>
      <color indexed="50"/>
      <name val="Arial Narrow"/>
      <family val="2"/>
    </font>
    <font>
      <sz val="12"/>
      <color indexed="9"/>
      <name val="Eras Demi ITC"/>
      <family val="2"/>
    </font>
    <font>
      <b/>
      <i/>
      <sz val="12"/>
      <color indexed="9"/>
      <name val="Arial Rounded MT Bold"/>
      <family val="2"/>
    </font>
    <font>
      <sz val="11"/>
      <name val="Bradley Hand ITC"/>
      <family val="4"/>
    </font>
    <font>
      <b/>
      <sz val="16"/>
      <name val="Eras Demi ITC"/>
      <family val="2"/>
    </font>
    <font>
      <b/>
      <sz val="12"/>
      <color indexed="55"/>
      <name val="Eras Medium ITC"/>
      <family val="2"/>
    </font>
  </fonts>
  <fills count="9">
    <fill>
      <patternFill/>
    </fill>
    <fill>
      <patternFill patternType="gray125"/>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indexed="47"/>
        <bgColor indexed="64"/>
      </patternFill>
    </fill>
    <fill>
      <patternFill patternType="solid">
        <fgColor indexed="42"/>
        <bgColor indexed="64"/>
      </patternFill>
    </fill>
    <fill>
      <patternFill patternType="solid">
        <fgColor indexed="55"/>
        <bgColor indexed="64"/>
      </patternFill>
    </fill>
  </fills>
  <borders count="12">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n"/>
      <right style="thin"/>
      <top style="thin"/>
      <bottom style="thin"/>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61">
    <xf numFmtId="0" fontId="0" fillId="0" borderId="0" xfId="0" applyAlignment="1">
      <alignment/>
    </xf>
    <xf numFmtId="0" fontId="3" fillId="0" borderId="0" xfId="0" applyFont="1" applyAlignment="1" applyProtection="1">
      <alignment horizontal="center"/>
      <protection hidden="1"/>
    </xf>
    <xf numFmtId="0" fontId="3" fillId="0" borderId="0" xfId="0" applyFont="1" applyFill="1" applyAlignment="1" applyProtection="1">
      <alignment horizontal="center"/>
      <protection hidden="1"/>
    </xf>
    <xf numFmtId="0" fontId="3" fillId="0" borderId="0" xfId="0" applyFont="1" applyAlignment="1" applyProtection="1">
      <alignment horizontal="right"/>
      <protection hidden="1"/>
    </xf>
    <xf numFmtId="0" fontId="3" fillId="0" borderId="0" xfId="0" applyFont="1" applyFill="1" applyBorder="1" applyAlignment="1" applyProtection="1">
      <alignment horizontal="center"/>
      <protection hidden="1"/>
    </xf>
    <xf numFmtId="0" fontId="3" fillId="0" borderId="0" xfId="0" applyFont="1" applyFill="1" applyBorder="1" applyAlignment="1" applyProtection="1">
      <alignment/>
      <protection hidden="1"/>
    </xf>
    <xf numFmtId="0" fontId="3" fillId="0" borderId="0" xfId="0" applyFont="1" applyFill="1" applyBorder="1" applyAlignment="1" applyProtection="1">
      <alignment horizontal="left"/>
      <protection hidden="1"/>
    </xf>
    <xf numFmtId="0" fontId="4" fillId="0" borderId="0" xfId="0" applyFont="1" applyFill="1" applyBorder="1" applyAlignment="1" applyProtection="1">
      <alignment horizontal="center"/>
      <protection hidden="1"/>
    </xf>
    <xf numFmtId="0" fontId="5" fillId="0" borderId="0" xfId="0" applyFont="1" applyFill="1" applyBorder="1" applyAlignment="1" applyProtection="1">
      <alignment/>
      <protection hidden="1"/>
    </xf>
    <xf numFmtId="0" fontId="3" fillId="0" borderId="0" xfId="0" applyFont="1" applyFill="1" applyBorder="1" applyAlignment="1" applyProtection="1">
      <alignment horizontal="right"/>
      <protection hidden="1"/>
    </xf>
    <xf numFmtId="0" fontId="3" fillId="0" borderId="0" xfId="0" applyFont="1" applyFill="1" applyAlignment="1" applyProtection="1">
      <alignment horizontal="left"/>
      <protection hidden="1"/>
    </xf>
    <xf numFmtId="0" fontId="3" fillId="0" borderId="0" xfId="0" applyFont="1" applyAlignment="1" applyProtection="1">
      <alignment/>
      <protection hidden="1"/>
    </xf>
    <xf numFmtId="0" fontId="6" fillId="0" borderId="0" xfId="0" applyFont="1" applyAlignment="1">
      <alignment/>
    </xf>
    <xf numFmtId="0" fontId="6" fillId="0" borderId="0" xfId="0" applyFont="1" applyAlignment="1" applyProtection="1">
      <alignment/>
      <protection hidden="1"/>
    </xf>
    <xf numFmtId="0" fontId="6" fillId="0" borderId="0" xfId="0" applyFont="1" applyAlignment="1" applyProtection="1">
      <alignment horizontal="right"/>
      <protection hidden="1"/>
    </xf>
    <xf numFmtId="0" fontId="7" fillId="0" borderId="0" xfId="0" applyFont="1" applyAlignment="1" applyProtection="1">
      <alignment horizontal="center"/>
      <protection hidden="1"/>
    </xf>
    <xf numFmtId="14" fontId="8" fillId="0" borderId="0" xfId="0" applyNumberFormat="1" applyFont="1" applyFill="1" applyBorder="1" applyAlignment="1" applyProtection="1">
      <alignment horizontal="center"/>
      <protection hidden="1"/>
    </xf>
    <xf numFmtId="0" fontId="9" fillId="0" borderId="0" xfId="0" applyFont="1" applyAlignment="1" applyProtection="1">
      <alignment horizontal="center"/>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left"/>
      <protection hidden="1"/>
    </xf>
    <xf numFmtId="0" fontId="11" fillId="0" borderId="0" xfId="0" applyFont="1" applyFill="1" applyBorder="1" applyAlignment="1" applyProtection="1">
      <alignment horizontal="left"/>
      <protection hidden="1"/>
    </xf>
    <xf numFmtId="0" fontId="3" fillId="0" borderId="0" xfId="0" applyFont="1" applyFill="1" applyAlignment="1" applyProtection="1">
      <alignment/>
      <protection hidden="1"/>
    </xf>
    <xf numFmtId="0" fontId="13" fillId="0" borderId="0" xfId="0" applyFont="1" applyFill="1" applyBorder="1" applyAlignment="1" applyProtection="1">
      <alignment horizontal="left"/>
      <protection hidden="1"/>
    </xf>
    <xf numFmtId="0" fontId="14" fillId="0" borderId="0" xfId="0" applyFont="1" applyFill="1" applyAlignment="1" applyProtection="1">
      <alignment/>
      <protection hidden="1"/>
    </xf>
    <xf numFmtId="0" fontId="15" fillId="0" borderId="0" xfId="0" applyFont="1" applyFill="1" applyAlignment="1" applyProtection="1">
      <alignment/>
      <protection hidden="1"/>
    </xf>
    <xf numFmtId="0" fontId="3" fillId="0" borderId="0" xfId="0" applyFont="1" applyFill="1" applyAlignment="1" applyProtection="1">
      <alignment horizontal="right"/>
      <protection hidden="1"/>
    </xf>
    <xf numFmtId="0" fontId="16" fillId="0" borderId="0" xfId="0" applyFont="1" applyFill="1" applyBorder="1" applyAlignment="1" applyProtection="1">
      <alignment/>
      <protection hidden="1"/>
    </xf>
    <xf numFmtId="0" fontId="10" fillId="0" borderId="0" xfId="0" applyFont="1" applyFill="1" applyAlignment="1" applyProtection="1">
      <alignment/>
      <protection hidden="1"/>
    </xf>
    <xf numFmtId="0" fontId="4" fillId="0" borderId="0" xfId="0" applyFont="1" applyAlignment="1" applyProtection="1">
      <alignment/>
      <protection hidden="1"/>
    </xf>
    <xf numFmtId="0" fontId="6" fillId="0" borderId="0" xfId="0" applyFont="1" applyBorder="1" applyAlignment="1">
      <alignment/>
    </xf>
    <xf numFmtId="20" fontId="3" fillId="0" borderId="0" xfId="0" applyNumberFormat="1" applyFont="1" applyBorder="1" applyAlignment="1" applyProtection="1">
      <alignment/>
      <protection hidden="1"/>
    </xf>
    <xf numFmtId="0" fontId="6" fillId="0" borderId="0" xfId="0" applyFont="1" applyAlignment="1">
      <alignment horizontal="right"/>
    </xf>
    <xf numFmtId="0" fontId="8" fillId="0" borderId="0" xfId="0" applyFont="1" applyFill="1" applyBorder="1" applyAlignment="1" applyProtection="1">
      <alignment/>
      <protection hidden="1"/>
    </xf>
    <xf numFmtId="0" fontId="14" fillId="0" borderId="0" xfId="0" applyFont="1" applyAlignment="1" applyProtection="1">
      <alignment/>
      <protection hidden="1"/>
    </xf>
    <xf numFmtId="0" fontId="17"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9" fillId="0" borderId="0" xfId="0" applyFont="1" applyFill="1" applyBorder="1" applyAlignment="1" applyProtection="1">
      <alignment/>
      <protection hidden="1"/>
    </xf>
    <xf numFmtId="0" fontId="4" fillId="0" borderId="0" xfId="0" applyFont="1" applyFill="1" applyBorder="1" applyAlignment="1" applyProtection="1">
      <alignment/>
      <protection hidden="1"/>
    </xf>
    <xf numFmtId="0" fontId="14" fillId="0" borderId="1" xfId="0" applyFont="1" applyFill="1" applyBorder="1" applyAlignment="1" applyProtection="1">
      <alignment horizontal="center"/>
      <protection hidden="1"/>
    </xf>
    <xf numFmtId="0" fontId="6" fillId="0" borderId="0" xfId="0" applyFont="1" applyFill="1" applyBorder="1" applyAlignment="1">
      <alignment horizontal="right"/>
    </xf>
    <xf numFmtId="0" fontId="4" fillId="0" borderId="2" xfId="0" applyFont="1" applyFill="1" applyBorder="1" applyAlignment="1" applyProtection="1">
      <alignment horizontal="center"/>
      <protection hidden="1"/>
    </xf>
    <xf numFmtId="0" fontId="10" fillId="0" borderId="0" xfId="0" applyFont="1" applyAlignment="1" applyProtection="1">
      <alignment/>
      <protection hidden="1"/>
    </xf>
    <xf numFmtId="0" fontId="20" fillId="0" borderId="0" xfId="0" applyFont="1" applyFill="1" applyBorder="1" applyAlignment="1" applyProtection="1">
      <alignment/>
      <protection hidden="1"/>
    </xf>
    <xf numFmtId="0" fontId="14" fillId="0" borderId="2" xfId="0" applyFont="1" applyFill="1" applyBorder="1" applyAlignment="1" applyProtection="1">
      <alignment horizontal="center"/>
      <protection hidden="1"/>
    </xf>
    <xf numFmtId="0" fontId="21" fillId="0" borderId="2" xfId="0" applyFont="1" applyFill="1" applyBorder="1" applyAlignment="1" applyProtection="1">
      <alignment horizontal="center"/>
      <protection hidden="1"/>
    </xf>
    <xf numFmtId="0" fontId="10" fillId="0" borderId="0" xfId="0" applyFont="1" applyFill="1" applyBorder="1" applyAlignment="1" applyProtection="1">
      <alignment horizontal="centerContinuous"/>
      <protection hidden="1"/>
    </xf>
    <xf numFmtId="0" fontId="11" fillId="0" borderId="0" xfId="0" applyFont="1" applyFill="1" applyBorder="1" applyAlignment="1" applyProtection="1">
      <alignment horizontal="centerContinuous"/>
      <protection hidden="1"/>
    </xf>
    <xf numFmtId="0" fontId="10" fillId="0" borderId="0" xfId="0" applyFont="1" applyFill="1" applyBorder="1" applyAlignment="1" applyProtection="1">
      <alignment horizontal="right"/>
      <protection hidden="1"/>
    </xf>
    <xf numFmtId="0" fontId="11" fillId="0" borderId="0" xfId="0" applyFont="1" applyFill="1" applyBorder="1" applyAlignment="1" applyProtection="1">
      <alignment horizontal="right"/>
      <protection hidden="1"/>
    </xf>
    <xf numFmtId="20" fontId="3" fillId="0" borderId="0" xfId="0" applyNumberFormat="1" applyFont="1" applyFill="1" applyBorder="1" applyAlignment="1" applyProtection="1">
      <alignment/>
      <protection hidden="1"/>
    </xf>
    <xf numFmtId="0" fontId="4" fillId="0" borderId="3" xfId="0" applyFont="1" applyFill="1" applyBorder="1" applyAlignment="1" applyProtection="1">
      <alignment horizontal="center"/>
      <protection hidden="1"/>
    </xf>
    <xf numFmtId="17" fontId="3" fillId="0" borderId="0" xfId="0" applyNumberFormat="1" applyFont="1" applyFill="1" applyBorder="1" applyAlignment="1" applyProtection="1">
      <alignment/>
      <protection hidden="1"/>
    </xf>
    <xf numFmtId="0" fontId="11" fillId="0" borderId="0" xfId="0" applyFont="1" applyFill="1" applyBorder="1" applyAlignment="1" applyProtection="1">
      <alignment/>
      <protection hidden="1"/>
    </xf>
    <xf numFmtId="0" fontId="11" fillId="0" borderId="0" xfId="0" applyFont="1" applyFill="1" applyBorder="1" applyAlignment="1" applyProtection="1">
      <alignment horizontal="center"/>
      <protection hidden="1"/>
    </xf>
    <xf numFmtId="0" fontId="10" fillId="0" borderId="0" xfId="0" applyFont="1" applyFill="1" applyBorder="1" applyAlignment="1" applyProtection="1">
      <alignment/>
      <protection hidden="1"/>
    </xf>
    <xf numFmtId="0" fontId="22" fillId="0" borderId="0" xfId="20" applyFont="1" applyFill="1" applyBorder="1" applyAlignment="1" applyProtection="1">
      <alignment horizontal="center"/>
      <protection hidden="1"/>
    </xf>
    <xf numFmtId="17" fontId="3" fillId="0" borderId="0" xfId="0" applyNumberFormat="1" applyFont="1" applyFill="1" applyBorder="1" applyAlignment="1" applyProtection="1">
      <alignment horizontal="left"/>
      <protection hidden="1"/>
    </xf>
    <xf numFmtId="17" fontId="3" fillId="0" borderId="0" xfId="0" applyNumberFormat="1" applyFont="1" applyBorder="1" applyAlignment="1" applyProtection="1">
      <alignment horizontal="left"/>
      <protection hidden="1"/>
    </xf>
    <xf numFmtId="1" fontId="23" fillId="0" borderId="0" xfId="0" applyNumberFormat="1" applyFont="1" applyFill="1" applyBorder="1" applyAlignment="1" applyProtection="1">
      <alignment horizontal="right"/>
      <protection hidden="1"/>
    </xf>
    <xf numFmtId="1" fontId="3" fillId="0" borderId="0" xfId="0" applyNumberFormat="1" applyFont="1" applyAlignment="1" applyProtection="1">
      <alignment horizontal="right"/>
      <protection hidden="1"/>
    </xf>
    <xf numFmtId="0" fontId="6" fillId="0" borderId="0" xfId="0" applyFont="1" applyFill="1" applyBorder="1" applyAlignment="1" applyProtection="1">
      <alignment/>
      <protection hidden="1"/>
    </xf>
    <xf numFmtId="0" fontId="6" fillId="0" borderId="0" xfId="0" applyFont="1" applyFill="1" applyBorder="1" applyAlignment="1" applyProtection="1">
      <alignment horizontal="center"/>
      <protection hidden="1"/>
    </xf>
    <xf numFmtId="17" fontId="6" fillId="0" borderId="0" xfId="0" applyNumberFormat="1" applyFont="1" applyFill="1" applyBorder="1" applyAlignment="1" applyProtection="1">
      <alignment/>
      <protection hidden="1"/>
    </xf>
    <xf numFmtId="0" fontId="6" fillId="0" borderId="0" xfId="0" applyFont="1" applyFill="1" applyBorder="1" applyAlignment="1" applyProtection="1">
      <alignment horizontal="left"/>
      <protection hidden="1"/>
    </xf>
    <xf numFmtId="0" fontId="6" fillId="0" borderId="0" xfId="0" applyFont="1" applyFill="1" applyAlignment="1" applyProtection="1">
      <alignment horizontal="center"/>
      <protection hidden="1"/>
    </xf>
    <xf numFmtId="0" fontId="6" fillId="0" borderId="0" xfId="0" applyFont="1" applyFill="1" applyAlignment="1" applyProtection="1">
      <alignment horizontal="left"/>
      <protection hidden="1"/>
    </xf>
    <xf numFmtId="0" fontId="13" fillId="0" borderId="0" xfId="0" applyFont="1" applyAlignment="1" applyProtection="1">
      <alignment/>
      <protection hidden="1"/>
    </xf>
    <xf numFmtId="17" fontId="3" fillId="0" borderId="0" xfId="0" applyNumberFormat="1" applyFont="1" applyFill="1" applyAlignment="1" applyProtection="1">
      <alignment/>
      <protection hidden="1"/>
    </xf>
    <xf numFmtId="17" fontId="3" fillId="0" borderId="0" xfId="0" applyNumberFormat="1" applyFont="1" applyAlignment="1" applyProtection="1">
      <alignment horizontal="left"/>
      <protection hidden="1"/>
    </xf>
    <xf numFmtId="0" fontId="10" fillId="0" borderId="0" xfId="0" applyFont="1" applyAlignment="1" applyProtection="1">
      <alignment horizontal="left"/>
      <protection hidden="1"/>
    </xf>
    <xf numFmtId="0" fontId="25" fillId="0" borderId="0" xfId="0" applyFont="1" applyAlignment="1" applyProtection="1">
      <alignment/>
      <protection hidden="1"/>
    </xf>
    <xf numFmtId="0" fontId="6" fillId="0" borderId="0" xfId="0" applyFont="1" applyFill="1" applyBorder="1" applyAlignment="1" applyProtection="1">
      <alignment horizontal="right"/>
      <protection hidden="1"/>
    </xf>
    <xf numFmtId="20" fontId="6" fillId="0" borderId="0" xfId="0" applyNumberFormat="1" applyFont="1" applyFill="1" applyBorder="1" applyAlignment="1" applyProtection="1">
      <alignment/>
      <protection hidden="1"/>
    </xf>
    <xf numFmtId="0" fontId="10" fillId="0" borderId="0" xfId="0" applyFont="1" applyAlignment="1" applyProtection="1">
      <alignment horizontal="center"/>
      <protection hidden="1"/>
    </xf>
    <xf numFmtId="0" fontId="12" fillId="0" borderId="0" xfId="0" applyFont="1" applyFill="1" applyBorder="1" applyAlignment="1" applyProtection="1">
      <alignment horizontal="center"/>
      <protection hidden="1"/>
    </xf>
    <xf numFmtId="0" fontId="3" fillId="2" borderId="0" xfId="0" applyFont="1" applyFill="1" applyBorder="1" applyAlignment="1" applyProtection="1">
      <alignment/>
      <protection hidden="1"/>
    </xf>
    <xf numFmtId="0" fontId="11" fillId="2" borderId="0" xfId="0" applyFont="1" applyFill="1" applyBorder="1" applyAlignment="1" applyProtection="1">
      <alignment/>
      <protection hidden="1"/>
    </xf>
    <xf numFmtId="0" fontId="10" fillId="2" borderId="0" xfId="0" applyFont="1" applyFill="1" applyBorder="1" applyAlignment="1" applyProtection="1">
      <alignment horizontal="right"/>
      <protection hidden="1"/>
    </xf>
    <xf numFmtId="0" fontId="6" fillId="3" borderId="4" xfId="0" applyFont="1" applyFill="1" applyBorder="1" applyAlignment="1" applyProtection="1">
      <alignment horizontal="center"/>
      <protection locked="0"/>
    </xf>
    <xf numFmtId="0" fontId="26" fillId="0" borderId="5" xfId="0" applyFont="1" applyFill="1" applyBorder="1" applyAlignment="1" applyProtection="1">
      <alignment horizontal="center"/>
      <protection hidden="1"/>
    </xf>
    <xf numFmtId="16" fontId="6" fillId="0" borderId="0" xfId="0" applyNumberFormat="1" applyFont="1" applyBorder="1" applyAlignment="1">
      <alignment horizontal="left"/>
    </xf>
    <xf numFmtId="0" fontId="11" fillId="2" borderId="0" xfId="0" applyFont="1" applyFill="1" applyBorder="1" applyAlignment="1" applyProtection="1">
      <alignment horizontal="left"/>
      <protection hidden="1"/>
    </xf>
    <xf numFmtId="16" fontId="6" fillId="0" borderId="0" xfId="0" applyNumberFormat="1" applyFont="1" applyAlignment="1">
      <alignment horizontal="left"/>
    </xf>
    <xf numFmtId="0" fontId="6" fillId="0" borderId="0" xfId="0" applyFont="1" applyFill="1" applyBorder="1" applyAlignment="1" applyProtection="1">
      <alignment horizontal="center"/>
      <protection locked="0"/>
    </xf>
    <xf numFmtId="0" fontId="18" fillId="0" borderId="0" xfId="0" applyFont="1" applyFill="1" applyAlignment="1" applyProtection="1">
      <alignment horizontal="center"/>
      <protection hidden="1"/>
    </xf>
    <xf numFmtId="0" fontId="18" fillId="0" borderId="0" xfId="0" applyFont="1" applyFill="1" applyAlignment="1" applyProtection="1">
      <alignment horizontal="left"/>
      <protection hidden="1"/>
    </xf>
    <xf numFmtId="0" fontId="18" fillId="0" borderId="0" xfId="0" applyFont="1" applyFill="1" applyBorder="1" applyAlignment="1" applyProtection="1">
      <alignment horizontal="left"/>
      <protection hidden="1"/>
    </xf>
    <xf numFmtId="0" fontId="11" fillId="2" borderId="0" xfId="0" applyFont="1" applyFill="1" applyBorder="1" applyAlignment="1" applyProtection="1">
      <alignment horizontal="center"/>
      <protection hidden="1"/>
    </xf>
    <xf numFmtId="0" fontId="6" fillId="0" borderId="0" xfId="0" applyFont="1" applyFill="1" applyAlignment="1">
      <alignment/>
    </xf>
    <xf numFmtId="0" fontId="27" fillId="2" borderId="1" xfId="0" applyFont="1" applyFill="1" applyBorder="1" applyAlignment="1" applyProtection="1">
      <alignment horizontal="center"/>
      <protection hidden="1"/>
    </xf>
    <xf numFmtId="0" fontId="28" fillId="4" borderId="0" xfId="0" applyFont="1" applyFill="1" applyBorder="1" applyAlignment="1" applyProtection="1">
      <alignment horizontal="left"/>
      <protection hidden="1"/>
    </xf>
    <xf numFmtId="0" fontId="29" fillId="4" borderId="0" xfId="0" applyFont="1" applyFill="1" applyBorder="1" applyAlignment="1" applyProtection="1">
      <alignment/>
      <protection hidden="1"/>
    </xf>
    <xf numFmtId="0" fontId="30" fillId="4" borderId="0" xfId="0" applyFont="1" applyFill="1" applyAlignment="1">
      <alignment/>
    </xf>
    <xf numFmtId="0" fontId="28" fillId="4" borderId="0" xfId="0" applyFont="1" applyFill="1" applyBorder="1" applyAlignment="1" applyProtection="1">
      <alignment horizontal="right"/>
      <protection hidden="1"/>
    </xf>
    <xf numFmtId="0" fontId="28" fillId="4" borderId="0" xfId="0" applyFont="1" applyFill="1" applyBorder="1" applyAlignment="1" applyProtection="1">
      <alignment horizontal="center"/>
      <protection hidden="1"/>
    </xf>
    <xf numFmtId="0" fontId="31" fillId="0" borderId="0" xfId="0" applyFont="1" applyFill="1" applyBorder="1" applyAlignment="1" applyProtection="1">
      <alignment horizontal="left"/>
      <protection hidden="1"/>
    </xf>
    <xf numFmtId="0" fontId="32" fillId="4" borderId="0" xfId="0" applyFont="1" applyFill="1" applyBorder="1" applyAlignment="1" applyProtection="1">
      <alignment/>
      <protection hidden="1"/>
    </xf>
    <xf numFmtId="0" fontId="33" fillId="0" borderId="0" xfId="0" applyFont="1" applyAlignment="1" applyProtection="1">
      <alignment horizontal="center"/>
      <protection hidden="1"/>
    </xf>
    <xf numFmtId="0" fontId="28" fillId="0" borderId="0" xfId="0" applyFont="1" applyFill="1" applyBorder="1" applyAlignment="1" applyProtection="1">
      <alignment horizontal="center"/>
      <protection hidden="1"/>
    </xf>
    <xf numFmtId="179" fontId="34" fillId="2" borderId="4" xfId="0" applyNumberFormat="1" applyFont="1" applyFill="1" applyBorder="1" applyAlignment="1" applyProtection="1">
      <alignment horizontal="center"/>
      <protection hidden="1"/>
    </xf>
    <xf numFmtId="0" fontId="28" fillId="0" borderId="0" xfId="0" applyFont="1" applyFill="1" applyBorder="1" applyAlignment="1" applyProtection="1">
      <alignment horizontal="left"/>
      <protection hidden="1"/>
    </xf>
    <xf numFmtId="0" fontId="29" fillId="0" borderId="0" xfId="0" applyFont="1" applyFill="1" applyBorder="1" applyAlignment="1" applyProtection="1">
      <alignment horizontal="left"/>
      <protection hidden="1"/>
    </xf>
    <xf numFmtId="0" fontId="28" fillId="0" borderId="0" xfId="0" applyFont="1" applyFill="1" applyBorder="1" applyAlignment="1" applyProtection="1">
      <alignment horizontal="right"/>
      <protection hidden="1"/>
    </xf>
    <xf numFmtId="0" fontId="6" fillId="0" borderId="2" xfId="0" applyFont="1" applyBorder="1" applyAlignment="1">
      <alignment/>
    </xf>
    <xf numFmtId="0" fontId="3" fillId="0" borderId="6" xfId="0" applyFont="1" applyFill="1" applyBorder="1" applyAlignment="1" applyProtection="1">
      <alignment horizontal="center"/>
      <protection hidden="1"/>
    </xf>
    <xf numFmtId="0" fontId="3" fillId="0" borderId="7" xfId="0" applyFont="1" applyFill="1" applyBorder="1" applyAlignment="1" applyProtection="1">
      <alignment horizontal="center"/>
      <protection hidden="1"/>
    </xf>
    <xf numFmtId="0" fontId="3" fillId="0" borderId="8" xfId="0" applyFont="1" applyFill="1" applyBorder="1" applyAlignment="1" applyProtection="1">
      <alignment horizontal="center"/>
      <protection hidden="1"/>
    </xf>
    <xf numFmtId="0" fontId="6" fillId="0" borderId="7" xfId="0" applyFont="1" applyBorder="1" applyAlignment="1">
      <alignment/>
    </xf>
    <xf numFmtId="0" fontId="8" fillId="0" borderId="0" xfId="0" applyFont="1" applyFill="1" applyBorder="1" applyAlignment="1" applyProtection="1">
      <alignment horizontal="left"/>
      <protection hidden="1"/>
    </xf>
    <xf numFmtId="0" fontId="8" fillId="0" borderId="0" xfId="0" applyFont="1" applyAlignment="1" applyProtection="1">
      <alignment horizontal="left"/>
      <protection hidden="1"/>
    </xf>
    <xf numFmtId="0" fontId="8" fillId="0" borderId="0" xfId="0" applyFont="1" applyFill="1" applyAlignment="1" applyProtection="1">
      <alignment horizontal="left"/>
      <protection hidden="1"/>
    </xf>
    <xf numFmtId="0" fontId="8" fillId="0" borderId="0" xfId="0" applyFont="1" applyAlignment="1" applyProtection="1">
      <alignment/>
      <protection hidden="1"/>
    </xf>
    <xf numFmtId="0" fontId="35" fillId="0" borderId="0" xfId="0" applyFont="1" applyAlignment="1">
      <alignment/>
    </xf>
    <xf numFmtId="0" fontId="8" fillId="0" borderId="0" xfId="0" applyFont="1" applyFill="1" applyAlignment="1" applyProtection="1">
      <alignment/>
      <protection hidden="1"/>
    </xf>
    <xf numFmtId="0" fontId="35" fillId="0" borderId="0" xfId="0" applyFont="1" applyFill="1" applyBorder="1" applyAlignment="1" applyProtection="1">
      <alignment/>
      <protection hidden="1"/>
    </xf>
    <xf numFmtId="0" fontId="35" fillId="0" borderId="0" xfId="0" applyFont="1" applyFill="1" applyBorder="1" applyAlignment="1" applyProtection="1">
      <alignment horizontal="left"/>
      <protection hidden="1"/>
    </xf>
    <xf numFmtId="0" fontId="18" fillId="0" borderId="0" xfId="0" applyFont="1" applyAlignment="1">
      <alignment horizontal="center"/>
    </xf>
    <xf numFmtId="0" fontId="36" fillId="0" borderId="7" xfId="0" applyFont="1" applyFill="1" applyBorder="1" applyAlignment="1" applyProtection="1">
      <alignment horizontal="right"/>
      <protection hidden="1"/>
    </xf>
    <xf numFmtId="0" fontId="37" fillId="4" borderId="1" xfId="0" applyFont="1" applyFill="1" applyBorder="1" applyAlignment="1">
      <alignment horizontal="right" wrapText="1"/>
    </xf>
    <xf numFmtId="0" fontId="5" fillId="0" borderId="2" xfId="0" applyFont="1" applyFill="1" applyBorder="1" applyAlignment="1" applyProtection="1">
      <alignment/>
      <protection hidden="1"/>
    </xf>
    <xf numFmtId="0" fontId="3" fillId="0" borderId="2" xfId="0" applyFont="1" applyFill="1" applyBorder="1" applyAlignment="1" applyProtection="1">
      <alignment/>
      <protection hidden="1"/>
    </xf>
    <xf numFmtId="0" fontId="37" fillId="4" borderId="3" xfId="0" applyFont="1" applyFill="1" applyBorder="1" applyAlignment="1">
      <alignment horizontal="right" wrapText="1"/>
    </xf>
    <xf numFmtId="0" fontId="6" fillId="2" borderId="2" xfId="0" applyFont="1" applyFill="1" applyBorder="1" applyAlignment="1">
      <alignment/>
    </xf>
    <xf numFmtId="0" fontId="39" fillId="0" borderId="0" xfId="0" applyFont="1" applyAlignment="1">
      <alignment horizontal="center"/>
    </xf>
    <xf numFmtId="0" fontId="40" fillId="0" borderId="0" xfId="0" applyFont="1" applyAlignment="1">
      <alignment horizontal="center"/>
    </xf>
    <xf numFmtId="179" fontId="34" fillId="5" borderId="4" xfId="0" applyNumberFormat="1" applyFont="1" applyFill="1" applyBorder="1" applyAlignment="1" applyProtection="1">
      <alignment horizontal="center"/>
      <protection hidden="1"/>
    </xf>
    <xf numFmtId="0" fontId="3" fillId="5" borderId="0" xfId="0" applyFont="1" applyFill="1" applyBorder="1" applyAlignment="1" applyProtection="1">
      <alignment/>
      <protection hidden="1"/>
    </xf>
    <xf numFmtId="0" fontId="11" fillId="5" borderId="0" xfId="0" applyFont="1" applyFill="1" applyBorder="1" applyAlignment="1" applyProtection="1">
      <alignment/>
      <protection hidden="1"/>
    </xf>
    <xf numFmtId="0" fontId="10" fillId="5" borderId="0" xfId="0" applyFont="1" applyFill="1" applyBorder="1" applyAlignment="1" applyProtection="1">
      <alignment horizontal="right"/>
      <protection hidden="1"/>
    </xf>
    <xf numFmtId="0" fontId="11" fillId="5" borderId="0" xfId="0" applyFont="1" applyFill="1" applyBorder="1" applyAlignment="1" applyProtection="1">
      <alignment horizontal="center"/>
      <protection hidden="1"/>
    </xf>
    <xf numFmtId="0" fontId="6" fillId="2" borderId="3" xfId="0" applyFont="1" applyFill="1" applyBorder="1" applyAlignment="1" applyProtection="1">
      <alignment horizontal="center"/>
      <protection hidden="1"/>
    </xf>
    <xf numFmtId="165" fontId="41" fillId="2" borderId="3" xfId="0" applyNumberFormat="1" applyFont="1" applyFill="1" applyBorder="1" applyAlignment="1">
      <alignment horizontal="center"/>
    </xf>
    <xf numFmtId="0" fontId="24" fillId="2" borderId="1"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2" fillId="2" borderId="2" xfId="0" applyFont="1" applyFill="1" applyBorder="1" applyAlignment="1" applyProtection="1">
      <alignment horizontal="center"/>
      <protection hidden="1"/>
    </xf>
    <xf numFmtId="0" fontId="8" fillId="0" borderId="0" xfId="0" applyFont="1" applyFill="1" applyBorder="1" applyAlignment="1" applyProtection="1">
      <alignment horizontal="right"/>
      <protection hidden="1"/>
    </xf>
    <xf numFmtId="178" fontId="8" fillId="0" borderId="0" xfId="0" applyNumberFormat="1" applyFont="1" applyFill="1" applyBorder="1" applyAlignment="1" applyProtection="1">
      <alignment horizontal="left"/>
      <protection hidden="1"/>
    </xf>
    <xf numFmtId="0" fontId="8" fillId="0" borderId="0" xfId="0" applyFont="1" applyBorder="1" applyAlignment="1" applyProtection="1">
      <alignment horizontal="left"/>
      <protection hidden="1"/>
    </xf>
    <xf numFmtId="0" fontId="8" fillId="0" borderId="0" xfId="0" applyFont="1" applyFill="1" applyAlignment="1" applyProtection="1">
      <alignment horizontal="right"/>
      <protection hidden="1"/>
    </xf>
    <xf numFmtId="0" fontId="44" fillId="0" borderId="0" xfId="0" applyFont="1" applyFill="1" applyBorder="1" applyAlignment="1">
      <alignment horizontal="center"/>
    </xf>
    <xf numFmtId="0" fontId="35" fillId="0" borderId="0" xfId="0" applyFont="1" applyBorder="1" applyAlignment="1">
      <alignment/>
    </xf>
    <xf numFmtId="178" fontId="8" fillId="0" borderId="0" xfId="0" applyNumberFormat="1" applyFont="1" applyFill="1" applyAlignment="1" applyProtection="1">
      <alignment horizontal="left"/>
      <protection hidden="1"/>
    </xf>
    <xf numFmtId="0" fontId="15" fillId="0" borderId="0" xfId="0" applyFont="1" applyAlignment="1" applyProtection="1">
      <alignment/>
      <protection hidden="1"/>
    </xf>
    <xf numFmtId="0" fontId="15" fillId="0" borderId="0" xfId="0" applyFont="1" applyFill="1" applyBorder="1" applyAlignment="1" applyProtection="1">
      <alignment horizontal="left"/>
      <protection hidden="1"/>
    </xf>
    <xf numFmtId="178" fontId="15" fillId="0" borderId="0" xfId="0" applyNumberFormat="1" applyFont="1" applyFill="1" applyBorder="1" applyAlignment="1" applyProtection="1">
      <alignment horizontal="left"/>
      <protection hidden="1"/>
    </xf>
    <xf numFmtId="0" fontId="35" fillId="0" borderId="0" xfId="0" applyFont="1" applyFill="1" applyBorder="1" applyAlignment="1">
      <alignment/>
    </xf>
    <xf numFmtId="0" fontId="15" fillId="0" borderId="0" xfId="0" applyFont="1" applyFill="1" applyBorder="1" applyAlignment="1" applyProtection="1">
      <alignment/>
      <protection hidden="1"/>
    </xf>
    <xf numFmtId="0" fontId="35" fillId="0" borderId="0" xfId="0" applyFont="1" applyFill="1" applyBorder="1" applyAlignment="1" applyProtection="1">
      <alignment horizontal="center"/>
      <protection hidden="1"/>
    </xf>
    <xf numFmtId="0" fontId="35" fillId="0" borderId="0" xfId="0" applyFont="1" applyFill="1" applyAlignment="1" applyProtection="1">
      <alignment horizontal="center"/>
      <protection hidden="1"/>
    </xf>
    <xf numFmtId="0" fontId="8" fillId="0" borderId="0" xfId="0" applyFont="1" applyFill="1" applyAlignment="1" applyProtection="1">
      <alignment horizontal="center"/>
      <protection hidden="1"/>
    </xf>
    <xf numFmtId="0" fontId="8" fillId="0" borderId="0" xfId="0" applyNumberFormat="1" applyFont="1" applyFill="1" applyBorder="1" applyAlignment="1" applyProtection="1">
      <alignment horizontal="left"/>
      <protection hidden="1"/>
    </xf>
    <xf numFmtId="49" fontId="8" fillId="0" borderId="0" xfId="0" applyNumberFormat="1" applyFont="1" applyFill="1" applyBorder="1" applyAlignment="1" applyProtection="1">
      <alignment horizontal="left"/>
      <protection hidden="1"/>
    </xf>
    <xf numFmtId="0" fontId="35" fillId="0" borderId="0" xfId="0" applyNumberFormat="1" applyFont="1" applyFill="1" applyBorder="1" applyAlignment="1" applyProtection="1">
      <alignment horizontal="left"/>
      <protection hidden="1"/>
    </xf>
    <xf numFmtId="49" fontId="35" fillId="0" borderId="0" xfId="0" applyNumberFormat="1" applyFont="1" applyFill="1" applyBorder="1" applyAlignment="1" applyProtection="1">
      <alignment horizontal="left"/>
      <protection hidden="1"/>
    </xf>
    <xf numFmtId="0" fontId="15" fillId="0" borderId="0" xfId="0" applyFont="1" applyFill="1" applyBorder="1" applyAlignment="1" applyProtection="1">
      <alignment horizontal="center"/>
      <protection hidden="1"/>
    </xf>
    <xf numFmtId="0" fontId="35" fillId="0" borderId="0" xfId="0" applyFont="1" applyAlignment="1" applyProtection="1">
      <alignment horizontal="center"/>
      <protection hidden="1"/>
    </xf>
    <xf numFmtId="0" fontId="35" fillId="0" borderId="0" xfId="0" applyFont="1" applyFill="1" applyBorder="1" applyAlignment="1" applyProtection="1">
      <alignment horizontal="right"/>
      <protection hidden="1"/>
    </xf>
    <xf numFmtId="0" fontId="8" fillId="0" borderId="0" xfId="0" applyNumberFormat="1" applyFont="1" applyFill="1" applyBorder="1" applyAlignment="1" applyProtection="1">
      <alignment horizontal="right"/>
      <protection hidden="1"/>
    </xf>
    <xf numFmtId="0" fontId="35" fillId="0" borderId="0" xfId="0" applyFont="1" applyAlignment="1" applyProtection="1">
      <alignment/>
      <protection hidden="1"/>
    </xf>
    <xf numFmtId="0" fontId="8" fillId="0" borderId="0" xfId="0" applyFont="1" applyFill="1" applyAlignment="1" applyProtection="1" quotePrefix="1">
      <alignment horizontal="right"/>
      <protection hidden="1"/>
    </xf>
    <xf numFmtId="0" fontId="35" fillId="0" borderId="0" xfId="0" applyNumberFormat="1" applyFont="1" applyFill="1" applyBorder="1" applyAlignment="1" applyProtection="1">
      <alignment horizontal="right"/>
      <protection hidden="1"/>
    </xf>
    <xf numFmtId="0" fontId="10" fillId="2" borderId="0" xfId="0" applyFont="1" applyFill="1" applyBorder="1" applyAlignment="1" applyProtection="1">
      <alignment/>
      <protection hidden="1"/>
    </xf>
    <xf numFmtId="0" fontId="6" fillId="0" borderId="0" xfId="0" applyFont="1" applyAlignment="1">
      <alignment/>
    </xf>
    <xf numFmtId="0" fontId="6" fillId="0" borderId="0" xfId="0" applyFont="1" applyFill="1" applyBorder="1" applyAlignment="1">
      <alignment/>
    </xf>
    <xf numFmtId="0" fontId="28" fillId="0" borderId="0" xfId="0" applyFont="1" applyFill="1" applyBorder="1" applyAlignment="1" applyProtection="1">
      <alignment/>
      <protection hidden="1"/>
    </xf>
    <xf numFmtId="0" fontId="3" fillId="0" borderId="0" xfId="0" applyFont="1" applyFill="1" applyAlignment="1" applyProtection="1">
      <alignment/>
      <protection hidden="1"/>
    </xf>
    <xf numFmtId="0" fontId="10" fillId="0" borderId="0" xfId="0" applyFont="1" applyFill="1" applyBorder="1" applyAlignment="1" applyProtection="1">
      <alignment/>
      <protection hidden="1"/>
    </xf>
    <xf numFmtId="0" fontId="3" fillId="0" borderId="0" xfId="0" applyFont="1" applyFill="1" applyBorder="1" applyAlignment="1" applyProtection="1">
      <alignment/>
      <protection hidden="1"/>
    </xf>
    <xf numFmtId="0" fontId="6" fillId="0" borderId="0" xfId="0" applyFont="1" applyFill="1" applyBorder="1" applyAlignment="1" applyProtection="1">
      <alignment/>
      <protection hidden="1"/>
    </xf>
    <xf numFmtId="0" fontId="29" fillId="4" borderId="0" xfId="0" applyFont="1" applyFill="1" applyBorder="1" applyAlignment="1" applyProtection="1">
      <alignment/>
      <protection hidden="1"/>
    </xf>
    <xf numFmtId="16" fontId="45" fillId="0" borderId="0" xfId="0" applyNumberFormat="1" applyFont="1" applyBorder="1" applyAlignment="1">
      <alignment horizontal="left"/>
    </xf>
    <xf numFmtId="0" fontId="45" fillId="0" borderId="0" xfId="0" applyFont="1" applyFill="1" applyBorder="1" applyAlignment="1" applyProtection="1">
      <alignment/>
      <protection hidden="1"/>
    </xf>
    <xf numFmtId="20" fontId="3" fillId="2" borderId="0" xfId="0" applyNumberFormat="1" applyFont="1" applyFill="1" applyBorder="1" applyAlignment="1" applyProtection="1">
      <alignment/>
      <protection hidden="1"/>
    </xf>
    <xf numFmtId="0" fontId="6" fillId="2" borderId="0" xfId="0" applyFont="1" applyFill="1" applyBorder="1" applyAlignment="1">
      <alignment horizontal="right"/>
    </xf>
    <xf numFmtId="0" fontId="6" fillId="2" borderId="0" xfId="0" applyFont="1" applyFill="1" applyBorder="1" applyAlignment="1" applyProtection="1">
      <alignment horizontal="center"/>
      <protection locked="0"/>
    </xf>
    <xf numFmtId="0" fontId="6" fillId="2" borderId="0" xfId="0" applyFont="1" applyFill="1" applyAlignment="1">
      <alignment/>
    </xf>
    <xf numFmtId="0" fontId="28" fillId="2" borderId="0" xfId="0" applyFont="1" applyFill="1" applyBorder="1" applyAlignment="1" applyProtection="1">
      <alignment horizontal="center"/>
      <protection hidden="1"/>
    </xf>
    <xf numFmtId="16" fontId="6" fillId="0" borderId="0" xfId="0" applyNumberFormat="1" applyFont="1" applyAlignment="1">
      <alignment/>
    </xf>
    <xf numFmtId="1" fontId="3" fillId="0" borderId="0" xfId="0" applyNumberFormat="1" applyFont="1" applyFill="1" applyBorder="1" applyAlignment="1" applyProtection="1">
      <alignment/>
      <protection hidden="1"/>
    </xf>
    <xf numFmtId="0" fontId="32" fillId="0" borderId="0" xfId="0" applyFont="1" applyFill="1" applyBorder="1" applyAlignment="1" applyProtection="1">
      <alignment/>
      <protection hidden="1"/>
    </xf>
    <xf numFmtId="0" fontId="3" fillId="2" borderId="0" xfId="0" applyFont="1" applyFill="1" applyBorder="1" applyAlignment="1" applyProtection="1">
      <alignment/>
      <protection hidden="1"/>
    </xf>
    <xf numFmtId="0" fontId="46" fillId="0" borderId="0" xfId="0" applyFont="1" applyFill="1" applyBorder="1" applyAlignment="1" applyProtection="1">
      <alignment/>
      <protection hidden="1"/>
    </xf>
    <xf numFmtId="0" fontId="46" fillId="0" borderId="0" xfId="0" applyFont="1" applyFill="1" applyBorder="1" applyAlignment="1" applyProtection="1">
      <alignment horizontal="right"/>
      <protection hidden="1"/>
    </xf>
    <xf numFmtId="0" fontId="3" fillId="2" borderId="0" xfId="0" applyFont="1" applyFill="1" applyBorder="1" applyAlignment="1" applyProtection="1">
      <alignment horizontal="right"/>
      <protection hidden="1"/>
    </xf>
    <xf numFmtId="0" fontId="47" fillId="2" borderId="9" xfId="0" applyFont="1" applyFill="1" applyBorder="1" applyAlignment="1" applyProtection="1">
      <alignment horizontal="center"/>
      <protection hidden="1"/>
    </xf>
    <xf numFmtId="0" fontId="48" fillId="6" borderId="6" xfId="0" applyFont="1" applyFill="1" applyBorder="1" applyAlignment="1" applyProtection="1">
      <alignment horizontal="left"/>
      <protection hidden="1"/>
    </xf>
    <xf numFmtId="0" fontId="6" fillId="6" borderId="7" xfId="0" applyFont="1" applyFill="1" applyBorder="1" applyAlignment="1">
      <alignment/>
    </xf>
    <xf numFmtId="0" fontId="3" fillId="6" borderId="7" xfId="0" applyFont="1" applyFill="1" applyBorder="1" applyAlignment="1" applyProtection="1">
      <alignment horizontal="right"/>
      <protection hidden="1"/>
    </xf>
    <xf numFmtId="0" fontId="49" fillId="6" borderId="7" xfId="0" applyFont="1" applyFill="1" applyBorder="1" applyAlignment="1" applyProtection="1">
      <alignment horizontal="left"/>
      <protection hidden="1"/>
    </xf>
    <xf numFmtId="0" fontId="3" fillId="6" borderId="7" xfId="0" applyFont="1" applyFill="1" applyBorder="1" applyAlignment="1" applyProtection="1">
      <alignment horizontal="center"/>
      <protection hidden="1"/>
    </xf>
    <xf numFmtId="0" fontId="3" fillId="6" borderId="7" xfId="0" applyFont="1" applyFill="1" applyBorder="1" applyAlignment="1" applyProtection="1">
      <alignment/>
      <protection hidden="1"/>
    </xf>
    <xf numFmtId="0" fontId="3" fillId="6" borderId="8" xfId="0" applyFont="1" applyFill="1" applyBorder="1" applyAlignment="1" applyProtection="1">
      <alignment/>
      <protection hidden="1"/>
    </xf>
    <xf numFmtId="0" fontId="50" fillId="0" borderId="0" xfId="0" applyFont="1" applyAlignment="1" applyProtection="1">
      <alignment horizontal="center"/>
      <protection hidden="1"/>
    </xf>
    <xf numFmtId="0" fontId="10" fillId="5" borderId="0" xfId="0" applyFont="1" applyFill="1" applyBorder="1" applyAlignment="1" applyProtection="1">
      <alignment/>
      <protection hidden="1"/>
    </xf>
    <xf numFmtId="0" fontId="11" fillId="5" borderId="0" xfId="0" applyFont="1" applyFill="1" applyBorder="1" applyAlignment="1" applyProtection="1">
      <alignment horizontal="left"/>
      <protection hidden="1"/>
    </xf>
    <xf numFmtId="20" fontId="3" fillId="5" borderId="0" xfId="0" applyNumberFormat="1" applyFont="1" applyFill="1" applyBorder="1" applyAlignment="1" applyProtection="1">
      <alignment/>
      <protection hidden="1"/>
    </xf>
    <xf numFmtId="0" fontId="6" fillId="5" borderId="0" xfId="0" applyFont="1" applyFill="1" applyBorder="1" applyAlignment="1">
      <alignment horizontal="right"/>
    </xf>
    <xf numFmtId="0" fontId="6" fillId="5" borderId="0" xfId="0" applyFont="1" applyFill="1" applyBorder="1" applyAlignment="1" applyProtection="1">
      <alignment horizontal="center"/>
      <protection locked="0"/>
    </xf>
    <xf numFmtId="0" fontId="6" fillId="5" borderId="0" xfId="0" applyFont="1" applyFill="1" applyAlignment="1">
      <alignment/>
    </xf>
    <xf numFmtId="0" fontId="28" fillId="5" borderId="0" xfId="0" applyFont="1" applyFill="1" applyBorder="1" applyAlignment="1" applyProtection="1">
      <alignment horizontal="center"/>
      <protection hidden="1"/>
    </xf>
    <xf numFmtId="0" fontId="3" fillId="5" borderId="0" xfId="0" applyFont="1" applyFill="1" applyBorder="1" applyAlignment="1" applyProtection="1">
      <alignment horizontal="right"/>
      <protection hidden="1"/>
    </xf>
    <xf numFmtId="0" fontId="3" fillId="5" borderId="0" xfId="0" applyFont="1" applyFill="1" applyBorder="1" applyAlignment="1" applyProtection="1">
      <alignment/>
      <protection hidden="1"/>
    </xf>
    <xf numFmtId="0" fontId="48" fillId="7" borderId="6" xfId="0" applyFont="1" applyFill="1" applyBorder="1" applyAlignment="1" applyProtection="1">
      <alignment horizontal="left"/>
      <protection hidden="1"/>
    </xf>
    <xf numFmtId="0" fontId="6" fillId="7" borderId="7" xfId="0" applyFont="1" applyFill="1" applyBorder="1" applyAlignment="1">
      <alignment/>
    </xf>
    <xf numFmtId="0" fontId="3" fillId="7" borderId="7" xfId="0" applyFont="1" applyFill="1" applyBorder="1" applyAlignment="1" applyProtection="1">
      <alignment horizontal="right"/>
      <protection hidden="1"/>
    </xf>
    <xf numFmtId="0" fontId="49" fillId="7" borderId="7" xfId="0" applyFont="1" applyFill="1" applyBorder="1" applyAlignment="1" applyProtection="1">
      <alignment horizontal="left"/>
      <protection hidden="1"/>
    </xf>
    <xf numFmtId="0" fontId="3" fillId="7" borderId="7" xfId="0" applyFont="1" applyFill="1" applyBorder="1" applyAlignment="1" applyProtection="1">
      <alignment horizontal="center"/>
      <protection hidden="1"/>
    </xf>
    <xf numFmtId="0" fontId="3" fillId="7" borderId="7" xfId="0" applyFont="1" applyFill="1" applyBorder="1" applyAlignment="1" applyProtection="1">
      <alignment/>
      <protection hidden="1"/>
    </xf>
    <xf numFmtId="0" fontId="3" fillId="7" borderId="8" xfId="0" applyFont="1" applyFill="1" applyBorder="1" applyAlignment="1" applyProtection="1">
      <alignment/>
      <protection hidden="1"/>
    </xf>
    <xf numFmtId="0" fontId="15" fillId="0" borderId="0" xfId="0" applyFont="1" applyFill="1" applyAlignment="1" applyProtection="1">
      <alignment horizontal="right"/>
      <protection hidden="1"/>
    </xf>
    <xf numFmtId="0" fontId="47" fillId="5" borderId="9" xfId="0" applyFont="1" applyFill="1" applyBorder="1" applyAlignment="1" applyProtection="1">
      <alignment horizontal="center"/>
      <protection hidden="1"/>
    </xf>
    <xf numFmtId="0" fontId="1" fillId="0" borderId="0" xfId="0" applyFont="1" applyFill="1" applyBorder="1" applyAlignment="1" applyProtection="1">
      <alignment horizontal="right"/>
      <protection hidden="1"/>
    </xf>
    <xf numFmtId="0" fontId="51" fillId="0" borderId="0" xfId="0" applyFont="1" applyAlignment="1">
      <alignment horizontal="center"/>
    </xf>
    <xf numFmtId="0" fontId="3" fillId="2" borderId="0" xfId="0" applyFont="1" applyFill="1" applyBorder="1" applyAlignment="1" applyProtection="1">
      <alignment horizontal="center"/>
      <protection hidden="1"/>
    </xf>
    <xf numFmtId="0" fontId="52" fillId="2" borderId="0" xfId="0" applyFont="1" applyFill="1" applyBorder="1" applyAlignment="1" applyProtection="1">
      <alignment/>
      <protection hidden="1"/>
    </xf>
    <xf numFmtId="0" fontId="21" fillId="0" borderId="0" xfId="0" applyFont="1" applyFill="1" applyBorder="1" applyAlignment="1" applyProtection="1">
      <alignment horizontal="center"/>
      <protection hidden="1"/>
    </xf>
    <xf numFmtId="0" fontId="6" fillId="0" borderId="1" xfId="0" applyFont="1" applyBorder="1" applyAlignment="1">
      <alignment/>
    </xf>
    <xf numFmtId="0" fontId="42" fillId="0" borderId="2" xfId="0" applyFont="1" applyBorder="1" applyAlignment="1">
      <alignment horizontal="center"/>
    </xf>
    <xf numFmtId="0" fontId="6" fillId="0" borderId="3" xfId="0" applyFont="1" applyBorder="1" applyAlignment="1">
      <alignment/>
    </xf>
    <xf numFmtId="0" fontId="6" fillId="0" borderId="0" xfId="0" applyFont="1" applyFill="1" applyBorder="1" applyAlignment="1">
      <alignment/>
    </xf>
    <xf numFmtId="0" fontId="37" fillId="0" borderId="0" xfId="0" applyFont="1" applyFill="1" applyBorder="1" applyAlignment="1">
      <alignment horizontal="right" wrapText="1"/>
    </xf>
    <xf numFmtId="0" fontId="25" fillId="0" borderId="0" xfId="0" applyFont="1" applyFill="1" applyBorder="1" applyAlignment="1" applyProtection="1">
      <alignment/>
      <protection hidden="1"/>
    </xf>
    <xf numFmtId="0" fontId="13" fillId="0" borderId="0" xfId="0" applyFont="1" applyFill="1" applyBorder="1" applyAlignment="1" applyProtection="1">
      <alignment/>
      <protection hidden="1"/>
    </xf>
    <xf numFmtId="165" fontId="24" fillId="2" borderId="2" xfId="0" applyNumberFormat="1" applyFont="1" applyFill="1" applyBorder="1" applyAlignment="1" applyProtection="1">
      <alignment horizontal="center"/>
      <protection hidden="1"/>
    </xf>
    <xf numFmtId="0" fontId="6" fillId="8" borderId="1" xfId="0" applyFont="1" applyFill="1" applyBorder="1" applyAlignment="1">
      <alignment/>
    </xf>
    <xf numFmtId="0" fontId="6" fillId="8" borderId="2" xfId="0" applyFont="1" applyFill="1" applyBorder="1" applyAlignment="1">
      <alignment/>
    </xf>
    <xf numFmtId="0" fontId="6" fillId="8" borderId="2" xfId="0" applyFont="1" applyFill="1" applyBorder="1" applyAlignment="1">
      <alignment horizontal="center"/>
    </xf>
    <xf numFmtId="0" fontId="6" fillId="8" borderId="3" xfId="0" applyFont="1" applyFill="1" applyBorder="1" applyAlignment="1">
      <alignment horizontal="center"/>
    </xf>
    <xf numFmtId="0" fontId="13" fillId="8" borderId="2" xfId="0" applyFont="1" applyFill="1" applyBorder="1" applyAlignment="1">
      <alignment horizontal="center"/>
    </xf>
    <xf numFmtId="0" fontId="53" fillId="8" borderId="2" xfId="0" applyFont="1" applyFill="1" applyBorder="1" applyAlignment="1">
      <alignment horizontal="center"/>
    </xf>
    <xf numFmtId="0" fontId="54" fillId="0" borderId="0" xfId="0" applyFont="1" applyFill="1" applyBorder="1" applyAlignment="1" applyProtection="1">
      <alignment horizontal="right"/>
      <protection hidden="1"/>
    </xf>
    <xf numFmtId="0" fontId="3" fillId="3" borderId="4" xfId="0" applyFont="1" applyFill="1" applyBorder="1" applyAlignment="1" applyProtection="1">
      <alignment horizontal="center"/>
      <protection hidden="1" locked="0"/>
    </xf>
    <xf numFmtId="0" fontId="3" fillId="0" borderId="0" xfId="0" applyFont="1" applyFill="1" applyBorder="1" applyAlignment="1" applyProtection="1">
      <alignment horizontal="center"/>
      <protection hidden="1" locked="0"/>
    </xf>
    <xf numFmtId="0" fontId="28" fillId="0" borderId="0" xfId="0" applyFont="1" applyFill="1" applyBorder="1" applyAlignment="1" applyProtection="1">
      <alignment horizontal="center"/>
      <protection hidden="1" locked="0"/>
    </xf>
    <xf numFmtId="0" fontId="11" fillId="2" borderId="0" xfId="0" applyFont="1" applyFill="1" applyBorder="1" applyAlignment="1" applyProtection="1">
      <alignment/>
      <protection hidden="1" locked="0"/>
    </xf>
    <xf numFmtId="0" fontId="3" fillId="0" borderId="0" xfId="0" applyFont="1" applyFill="1" applyAlignment="1" applyProtection="1">
      <alignment horizontal="center"/>
      <protection hidden="1" locked="0"/>
    </xf>
    <xf numFmtId="0" fontId="3" fillId="0" borderId="0" xfId="0" applyFont="1" applyAlignment="1" applyProtection="1">
      <alignment horizontal="center"/>
      <protection hidden="1" locked="0"/>
    </xf>
    <xf numFmtId="0" fontId="10" fillId="0" borderId="0" xfId="0" applyFont="1" applyFill="1" applyBorder="1" applyAlignment="1" applyProtection="1">
      <alignment/>
      <protection hidden="1" locked="0"/>
    </xf>
    <xf numFmtId="0" fontId="29" fillId="0" borderId="0" xfId="0" applyFont="1" applyFill="1" applyBorder="1" applyAlignment="1" applyProtection="1">
      <alignment/>
      <protection hidden="1" locked="0"/>
    </xf>
    <xf numFmtId="0" fontId="11" fillId="5" borderId="0" xfId="0" applyFont="1" applyFill="1" applyBorder="1" applyAlignment="1" applyProtection="1">
      <alignment/>
      <protection hidden="1" locked="0"/>
    </xf>
    <xf numFmtId="0" fontId="56" fillId="0" borderId="10" xfId="0" applyFont="1" applyFill="1" applyBorder="1" applyAlignment="1" applyProtection="1">
      <alignment horizontal="center"/>
      <protection hidden="1" locked="0"/>
    </xf>
    <xf numFmtId="0" fontId="6" fillId="3" borderId="8" xfId="0" applyFont="1" applyFill="1" applyBorder="1" applyAlignment="1" applyProtection="1">
      <alignment horizontal="center"/>
      <protection locked="0"/>
    </xf>
    <xf numFmtId="0" fontId="6" fillId="3" borderId="5" xfId="0" applyFont="1" applyFill="1" applyBorder="1" applyAlignment="1" applyProtection="1">
      <alignment horizontal="center"/>
      <protection locked="0"/>
    </xf>
    <xf numFmtId="0" fontId="6" fillId="3" borderId="11" xfId="0" applyFont="1" applyFill="1" applyBorder="1" applyAlignment="1" applyProtection="1">
      <alignment horizontal="center"/>
      <protection locked="0"/>
    </xf>
    <xf numFmtId="1" fontId="23" fillId="0" borderId="0" xfId="0" applyNumberFormat="1" applyFont="1" applyBorder="1" applyAlignment="1" applyProtection="1">
      <alignment horizontal="center"/>
      <protection hidden="1" locked="0"/>
    </xf>
    <xf numFmtId="20" fontId="3" fillId="0" borderId="0" xfId="0" applyNumberFormat="1" applyFont="1" applyBorder="1" applyAlignment="1" applyProtection="1">
      <alignment/>
      <protection hidden="1" locked="0"/>
    </xf>
    <xf numFmtId="0" fontId="30" fillId="0" borderId="0" xfId="0" applyFont="1" applyFill="1" applyAlignment="1" applyProtection="1">
      <alignment/>
      <protection locked="0"/>
    </xf>
    <xf numFmtId="0" fontId="3" fillId="0" borderId="0" xfId="0" applyFont="1" applyAlignment="1" applyProtection="1">
      <alignment/>
      <protection hidden="1" locked="0"/>
    </xf>
    <xf numFmtId="1" fontId="23" fillId="0" borderId="0" xfId="0" applyNumberFormat="1" applyFont="1" applyFill="1" applyBorder="1" applyAlignment="1" applyProtection="1">
      <alignment horizontal="center"/>
      <protection hidden="1" locked="0"/>
    </xf>
    <xf numFmtId="20" fontId="3" fillId="0" borderId="0" xfId="0" applyNumberFormat="1" applyFont="1" applyFill="1" applyBorder="1" applyAlignment="1" applyProtection="1">
      <alignment/>
      <protection hidden="1" locked="0"/>
    </xf>
    <xf numFmtId="0" fontId="6" fillId="0" borderId="0" xfId="0" applyFont="1" applyAlignment="1" applyProtection="1">
      <alignment/>
      <protection locked="0"/>
    </xf>
    <xf numFmtId="1" fontId="23" fillId="0" borderId="0" xfId="0" applyNumberFormat="1" applyFont="1" applyAlignment="1" applyProtection="1">
      <alignment horizontal="left"/>
      <protection hidden="1" locked="0"/>
    </xf>
    <xf numFmtId="0" fontId="28" fillId="0" borderId="0" xfId="0" applyFont="1" applyFill="1" applyBorder="1" applyAlignment="1" applyProtection="1">
      <alignment horizontal="left"/>
      <protection hidden="1" locked="0"/>
    </xf>
    <xf numFmtId="0" fontId="29" fillId="0" borderId="0" xfId="0" applyFont="1" applyFill="1" applyBorder="1" applyAlignment="1" applyProtection="1">
      <alignment horizontal="left"/>
      <protection hidden="1" locked="0"/>
    </xf>
    <xf numFmtId="0" fontId="10" fillId="2" borderId="0" xfId="0" applyFont="1" applyFill="1" applyBorder="1" applyAlignment="1" applyProtection="1">
      <alignment horizontal="left"/>
      <protection hidden="1" locked="0"/>
    </xf>
    <xf numFmtId="0" fontId="3" fillId="0" borderId="0" xfId="0" applyFont="1" applyFill="1" applyAlignment="1" applyProtection="1">
      <alignment horizontal="left"/>
      <protection hidden="1" locked="0"/>
    </xf>
    <xf numFmtId="1" fontId="23" fillId="0" borderId="0" xfId="0" applyNumberFormat="1" applyFont="1" applyBorder="1" applyAlignment="1" applyProtection="1">
      <alignment horizontal="left"/>
      <protection hidden="1" locked="0"/>
    </xf>
    <xf numFmtId="0" fontId="3" fillId="0" borderId="0" xfId="0" applyFont="1" applyFill="1" applyBorder="1" applyAlignment="1" applyProtection="1">
      <alignment horizontal="left"/>
      <protection hidden="1" locked="0"/>
    </xf>
    <xf numFmtId="0" fontId="10" fillId="0" borderId="0" xfId="0" applyFont="1" applyFill="1" applyBorder="1" applyAlignment="1" applyProtection="1">
      <alignment horizontal="left"/>
      <protection hidden="1" locked="0"/>
    </xf>
    <xf numFmtId="0" fontId="3" fillId="0" borderId="0" xfId="0" applyFont="1" applyFill="1" applyAlignment="1" applyProtection="1">
      <alignment/>
      <protection hidden="1" locked="0"/>
    </xf>
    <xf numFmtId="0" fontId="10" fillId="5" borderId="0" xfId="0" applyFont="1" applyFill="1" applyBorder="1" applyAlignment="1" applyProtection="1">
      <alignment horizontal="left"/>
      <protection hidden="1"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auto="1"/>
      </font>
      <fill>
        <patternFill>
          <bgColor rgb="FFFFFFCC"/>
        </patternFill>
      </fill>
      <border/>
    </dxf>
    <dxf>
      <font>
        <b/>
        <i val="0"/>
        <color rgb="FFFF6600"/>
      </font>
      <border/>
    </dxf>
    <dxf>
      <font>
        <b/>
        <i val="0"/>
        <color rgb="FF99CC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opcorner.it/" TargetMode="External" /><Relationship Id="rId3" Type="http://schemas.openxmlformats.org/officeDocument/2006/relationships/hyperlink" Target="http://www.topcorner.it/" TargetMode="External" /><Relationship Id="rId4" Type="http://schemas.openxmlformats.org/officeDocument/2006/relationships/image" Target="../media/image2.png" /><Relationship Id="rId5" Type="http://schemas.openxmlformats.org/officeDocument/2006/relationships/hyperlink" Target="http://www.fivesfootball.com/" TargetMode="External" /><Relationship Id="rId6" Type="http://schemas.openxmlformats.org/officeDocument/2006/relationships/hyperlink" Target="http://www.fivesfootball.com/" TargetMode="External" /><Relationship Id="rId7" Type="http://schemas.openxmlformats.org/officeDocument/2006/relationships/hyperlink" Target="http://www.topcorner.it/popups/schedulepage.htm" TargetMode="External" /><Relationship Id="rId8" Type="http://schemas.openxmlformats.org/officeDocument/2006/relationships/hyperlink" Target="http://www.topcorner.it/popups/schedulepage.htm" TargetMode="External" /><Relationship Id="rId9" Type="http://schemas.openxmlformats.org/officeDocument/2006/relationships/image" Target="../media/image3.jpeg" /><Relationship Id="rId10" Type="http://schemas.openxmlformats.org/officeDocument/2006/relationships/hyperlink" Target="http://www.topcorner.it/popups/CamdenLeagueInfoSpr06.htm" TargetMode="External" /><Relationship Id="rId11" Type="http://schemas.openxmlformats.org/officeDocument/2006/relationships/hyperlink" Target="http://www.topcorner.it/popups/CamdenLeagueInfoSpr06.htm" TargetMode="External" /><Relationship Id="rId1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opcorner.it/" TargetMode="External" /><Relationship Id="rId3" Type="http://schemas.openxmlformats.org/officeDocument/2006/relationships/hyperlink" Target="http://www.topcorner.it/" TargetMode="External" /><Relationship Id="rId4" Type="http://schemas.openxmlformats.org/officeDocument/2006/relationships/image" Target="../media/image2.png" /><Relationship Id="rId5" Type="http://schemas.openxmlformats.org/officeDocument/2006/relationships/hyperlink" Target="http://www.fivesfootball.com/" TargetMode="External" /><Relationship Id="rId6" Type="http://schemas.openxmlformats.org/officeDocument/2006/relationships/hyperlink" Target="http://www.fivesfootball.com/" TargetMode="External" /><Relationship Id="rId7" Type="http://schemas.openxmlformats.org/officeDocument/2006/relationships/hyperlink" Target="http://www.topcorner.it/popups/schedulepage.htm" TargetMode="External" /><Relationship Id="rId8" Type="http://schemas.openxmlformats.org/officeDocument/2006/relationships/hyperlink" Target="http://www.topcorner.it/popups/schedulepage.htm" TargetMode="External" /><Relationship Id="rId9" Type="http://schemas.openxmlformats.org/officeDocument/2006/relationships/image" Target="../media/image3.jpeg" /><Relationship Id="rId10" Type="http://schemas.openxmlformats.org/officeDocument/2006/relationships/hyperlink" Target="http://www.topcorner.it/popups/CamdenLeagueInfoSpr06.htm" TargetMode="External" /><Relationship Id="rId11" Type="http://schemas.openxmlformats.org/officeDocument/2006/relationships/hyperlink" Target="http://www.topcorner.it/popups/CamdenLeagueInfoSpr06.htm" TargetMode="External" /><Relationship Id="rId12" Type="http://schemas.openxmlformats.org/officeDocument/2006/relationships/image" Target="../media/image4.png" /><Relationship Id="rId13" Type="http://schemas.openxmlformats.org/officeDocument/2006/relationships/hyperlink" Target="http://www.away-games.net/home.html" TargetMode="External" /><Relationship Id="rId14" Type="http://schemas.openxmlformats.org/officeDocument/2006/relationships/hyperlink" Target="http://www.away-games.net/home.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65</xdr:row>
      <xdr:rowOff>142875</xdr:rowOff>
    </xdr:from>
    <xdr:to>
      <xdr:col>22</xdr:col>
      <xdr:colOff>76200</xdr:colOff>
      <xdr:row>100</xdr:row>
      <xdr:rowOff>66675</xdr:rowOff>
    </xdr:to>
    <xdr:sp>
      <xdr:nvSpPr>
        <xdr:cNvPr id="1" name="TextBox 1"/>
        <xdr:cNvSpPr txBox="1">
          <a:spLocks noChangeArrowheads="1"/>
        </xdr:cNvSpPr>
      </xdr:nvSpPr>
      <xdr:spPr>
        <a:xfrm>
          <a:off x="5572125" y="13954125"/>
          <a:ext cx="6238875" cy="6877050"/>
        </a:xfrm>
        <a:prstGeom prst="rect">
          <a:avLst/>
        </a:prstGeom>
        <a:solidFill>
          <a:srgbClr val="FF9900">
            <a:alpha val="50000"/>
          </a:srgbClr>
        </a:solidFill>
        <a:ln w="9525" cmpd="sng">
          <a:solidFill>
            <a:srgbClr val="000000"/>
          </a:solidFill>
          <a:headEnd type="none"/>
          <a:tailEnd type="none"/>
        </a:ln>
      </xdr:spPr>
      <xdr:txBody>
        <a:bodyPr vertOverflow="clip" wrap="square"/>
        <a:p>
          <a:pPr algn="l">
            <a:defRPr/>
          </a:pPr>
          <a:r>
            <a:rPr lang="en-US" cap="none" sz="1600" b="1" i="0" u="none" baseline="0">
              <a:latin typeface="Eras Demi ITC"/>
              <a:ea typeface="Eras Demi ITC"/>
              <a:cs typeface="Eras Demi ITC"/>
            </a:rPr>
            <a:t>How to play</a:t>
          </a:r>
          <a:r>
            <a:rPr lang="en-US" cap="none" sz="1000" b="0" i="0" u="none" baseline="0">
              <a:latin typeface="Arial Narrow"/>
              <a:ea typeface="Arial Narrow"/>
              <a:cs typeface="Arial Narrow"/>
            </a:rPr>
            <a:t>
1. Fill in your predictions on</a:t>
          </a:r>
          <a:r>
            <a:rPr lang="en-US" cap="none" sz="1000" b="1" i="0" u="none" baseline="0">
              <a:latin typeface="Arial Narrow"/>
              <a:ea typeface="Arial Narrow"/>
              <a:cs typeface="Arial Narrow"/>
            </a:rPr>
            <a:t> this</a:t>
          </a:r>
          <a:r>
            <a:rPr lang="en-US" cap="none" sz="1000" b="0" i="0" u="none" baseline="0">
              <a:latin typeface="Arial Narrow"/>
              <a:ea typeface="Arial Narrow"/>
              <a:cs typeface="Arial Narrow"/>
            </a:rPr>
            <a:t> page. The competition is based on the Group Stage results, with the later stages being used as a tie-breaker.
2. Save the chart with your name (eg JoeBloggs.xls) and email it by 8 June to </a:t>
          </a:r>
          <a:r>
            <a:rPr lang="en-US" cap="none" sz="1000" b="1" i="0" u="none" baseline="0">
              <a:latin typeface="Arial Narrow"/>
              <a:ea typeface="Arial Narrow"/>
              <a:cs typeface="Arial Narrow"/>
            </a:rPr>
            <a:t>pundits@topcorner.it.</a:t>
          </a:r>
          <a:r>
            <a:rPr lang="en-US" cap="none" sz="1000" b="0" i="0" u="none" baseline="0">
              <a:latin typeface="Arial Narrow"/>
              <a:ea typeface="Arial Narrow"/>
              <a:cs typeface="Arial Narrow"/>
            </a:rPr>
            <a:t>
3. Enter the results on the </a:t>
          </a:r>
          <a:r>
            <a:rPr lang="en-US" cap="none" sz="1000" b="1" i="0" u="none" baseline="0">
              <a:latin typeface="Arial Narrow"/>
              <a:ea typeface="Arial Narrow"/>
              <a:cs typeface="Arial Narrow"/>
            </a:rPr>
            <a:t>Results</a:t>
          </a:r>
          <a:r>
            <a:rPr lang="en-US" cap="none" sz="1000" b="0" i="0" u="none" baseline="0">
              <a:latin typeface="Arial Narrow"/>
              <a:ea typeface="Arial Narrow"/>
              <a:cs typeface="Arial Narrow"/>
            </a:rPr>
            <a:t> sheet as they come in.
4. Your score will appear as the results are entered.
</a:t>
          </a:r>
          <a:r>
            <a:rPr lang="en-US" cap="none" sz="1000" b="1" i="0" u="none" baseline="0">
              <a:latin typeface="Arial Narrow"/>
              <a:ea typeface="Arial Narrow"/>
              <a:cs typeface="Arial Narrow"/>
            </a:rPr>
            <a:t>The competition is free to enter and is open to all UK residents.</a:t>
          </a:r>
          <a:r>
            <a:rPr lang="en-US" cap="none" sz="1000" b="0" i="0" u="none" baseline="0">
              <a:latin typeface="Arial Narrow"/>
              <a:ea typeface="Arial Narrow"/>
              <a:cs typeface="Arial Narrow"/>
            </a:rPr>
            <a:t>
Top Corner will email all participants after the end of the first round with an estimated winning score. Anyone who has scored near this estimate should email Top Corner so that the results can be checked. The winner will be announced by 
1 st August.  
</a:t>
          </a:r>
          <a:r>
            <a:rPr lang="en-US" cap="none" sz="1000" b="1" i="0" u="none" baseline="0">
              <a:latin typeface="Arial Narrow"/>
              <a:ea typeface="Arial Narrow"/>
              <a:cs typeface="Arial Narrow"/>
            </a:rPr>
            <a:t>Scoring</a:t>
          </a:r>
          <a:r>
            <a:rPr lang="en-US" cap="none" sz="1000" b="0" i="0" u="none" baseline="0">
              <a:latin typeface="Arial Narrow"/>
              <a:ea typeface="Arial Narrow"/>
              <a:cs typeface="Arial Narrow"/>
            </a:rPr>
            <a:t>
Two points for correct result (win, lose, draw).
One point per correct score (eg England 2).
One bonus point per exactly correct score &amp; result (if you predict Germany 1-0 Costa Rica and the result is exactly right, you earn a total 5 points.)
Three points per correct table placing.
1/10 of a point deducted for each goal more or less than the total scored in the first round you predict.  For example if you predict 150 goals scored but 182 are scored, you are out by 32 goals and will lose 3.2 points.
</a:t>
          </a:r>
          <a:r>
            <a:rPr lang="en-US" cap="none" sz="1000" b="1" i="0" u="none" baseline="0">
              <a:latin typeface="Arial Narrow"/>
              <a:ea typeface="Arial Narrow"/>
              <a:cs typeface="Arial Narrow"/>
            </a:rPr>
            <a:t>Tie-breaker</a:t>
          </a:r>
          <a:r>
            <a:rPr lang="en-US" cap="none" sz="1000" b="0" i="0" u="none" baseline="0">
              <a:latin typeface="Arial Narrow"/>
              <a:ea typeface="Arial Narrow"/>
              <a:cs typeface="Arial Narrow"/>
            </a:rPr>
            <a:t>
In the event that two or more participants score exactly the same, the judges will look at predictions for the winner and then at the predicted knockout stage results.
</a:t>
          </a:r>
          <a:r>
            <a:rPr lang="en-US" cap="none" sz="1000" b="1" i="0" u="none" baseline="0">
              <a:latin typeface="Arial Narrow"/>
              <a:ea typeface="Arial Narrow"/>
              <a:cs typeface="Arial Narrow"/>
            </a:rPr>
            <a:t>Bonus Questions
</a:t>
          </a:r>
          <a:r>
            <a:rPr lang="en-US" cap="none" sz="1000" b="0" i="0" u="none" baseline="0">
              <a:latin typeface="Arial Narrow"/>
              <a:ea typeface="Arial Narrow"/>
              <a:cs typeface="Arial Narrow"/>
            </a:rPr>
            <a:t>Just for fun ... see if you can predict the unpredictable!
</a:t>
          </a:r>
          <a:r>
            <a:rPr lang="en-US" cap="none" sz="1000" b="1" i="0" u="none" baseline="0">
              <a:latin typeface="Arial Narrow"/>
              <a:ea typeface="Arial Narrow"/>
              <a:cs typeface="Arial Narrow"/>
            </a:rPr>
            <a:t>Rules</a:t>
          </a:r>
          <a:r>
            <a:rPr lang="en-US" cap="none" sz="1000" b="0" i="0" u="none" baseline="0">
              <a:latin typeface="Arial Narrow"/>
              <a:ea typeface="Arial Narrow"/>
              <a:cs typeface="Arial Narrow"/>
            </a:rPr>
            <a:t>
Entries cannot be accepted after midnight on 8th June.
Claims for winning entries are void after 31 July.
Top Corner will not be responsible for checking any entries.
The judges' decision is final and no correspondence will be entered into.
Competition open to UK residents only.
One entry per person only.</a:t>
          </a:r>
          <a:r>
            <a:rPr lang="en-US" cap="none" sz="1000" b="0" i="0" u="none" baseline="0">
              <a:latin typeface="Arial"/>
              <a:ea typeface="Arial"/>
              <a:cs typeface="Arial"/>
            </a:rPr>
            <a:t>
</a:t>
          </a:r>
          <a:r>
            <a:rPr lang="en-US" cap="none" sz="1000" b="1" i="0" u="none" baseline="0">
              <a:latin typeface="Arial Narrow"/>
              <a:ea typeface="Arial Narrow"/>
              <a:cs typeface="Arial Narrow"/>
            </a:rPr>
            <a:t>Privacy</a:t>
          </a:r>
          <a:r>
            <a:rPr lang="en-US" cap="none" sz="1000" b="0" i="0" u="none" baseline="0">
              <a:latin typeface="Arial Narrow"/>
              <a:ea typeface="Arial Narrow"/>
              <a:cs typeface="Arial Narrow"/>
            </a:rPr>
            <a:t>
Top Corner will respect your privacy and will send emails only pertaining to this competition. </a:t>
          </a:r>
        </a:p>
      </xdr:txBody>
    </xdr:sp>
    <xdr:clientData/>
  </xdr:twoCellAnchor>
  <xdr:twoCellAnchor editAs="oneCell">
    <xdr:from>
      <xdr:col>21</xdr:col>
      <xdr:colOff>542925</xdr:colOff>
      <xdr:row>1</xdr:row>
      <xdr:rowOff>0</xdr:rowOff>
    </xdr:from>
    <xdr:to>
      <xdr:col>21</xdr:col>
      <xdr:colOff>1533525</xdr:colOff>
      <xdr:row>2</xdr:row>
      <xdr:rowOff>104775</xdr:rowOff>
    </xdr:to>
    <xdr:pic>
      <xdr:nvPicPr>
        <xdr:cNvPr id="2" name="Picture 2">
          <a:hlinkClick r:id="rId3"/>
        </xdr:cNvPr>
        <xdr:cNvPicPr preferRelativeResize="1">
          <a:picLocks noChangeAspect="1"/>
        </xdr:cNvPicPr>
      </xdr:nvPicPr>
      <xdr:blipFill>
        <a:blip r:embed="rId1"/>
        <a:stretch>
          <a:fillRect/>
        </a:stretch>
      </xdr:blipFill>
      <xdr:spPr>
        <a:xfrm>
          <a:off x="10582275" y="552450"/>
          <a:ext cx="990600" cy="447675"/>
        </a:xfrm>
        <a:prstGeom prst="rect">
          <a:avLst/>
        </a:prstGeom>
        <a:noFill/>
        <a:ln w="9525" cmpd="sng">
          <a:noFill/>
        </a:ln>
      </xdr:spPr>
    </xdr:pic>
    <xdr:clientData/>
  </xdr:twoCellAnchor>
  <xdr:twoCellAnchor editAs="oneCell">
    <xdr:from>
      <xdr:col>21</xdr:col>
      <xdr:colOff>95250</xdr:colOff>
      <xdr:row>26</xdr:row>
      <xdr:rowOff>66675</xdr:rowOff>
    </xdr:from>
    <xdr:to>
      <xdr:col>21</xdr:col>
      <xdr:colOff>1552575</xdr:colOff>
      <xdr:row>30</xdr:row>
      <xdr:rowOff>123825</xdr:rowOff>
    </xdr:to>
    <xdr:pic>
      <xdr:nvPicPr>
        <xdr:cNvPr id="3" name="Picture 3">
          <a:hlinkClick r:id="rId6"/>
        </xdr:cNvPr>
        <xdr:cNvPicPr preferRelativeResize="1">
          <a:picLocks noChangeAspect="1"/>
        </xdr:cNvPicPr>
      </xdr:nvPicPr>
      <xdr:blipFill>
        <a:blip r:embed="rId4"/>
        <a:stretch>
          <a:fillRect/>
        </a:stretch>
      </xdr:blipFill>
      <xdr:spPr>
        <a:xfrm>
          <a:off x="10134600" y="5676900"/>
          <a:ext cx="1457325" cy="819150"/>
        </a:xfrm>
        <a:prstGeom prst="rect">
          <a:avLst/>
        </a:prstGeom>
        <a:noFill/>
        <a:ln w="9525" cmpd="sng">
          <a:noFill/>
        </a:ln>
      </xdr:spPr>
    </xdr:pic>
    <xdr:clientData/>
  </xdr:twoCellAnchor>
  <xdr:twoCellAnchor editAs="oneCell">
    <xdr:from>
      <xdr:col>21</xdr:col>
      <xdr:colOff>209550</xdr:colOff>
      <xdr:row>36</xdr:row>
      <xdr:rowOff>19050</xdr:rowOff>
    </xdr:from>
    <xdr:to>
      <xdr:col>21</xdr:col>
      <xdr:colOff>1323975</xdr:colOff>
      <xdr:row>38</xdr:row>
      <xdr:rowOff>76200</xdr:rowOff>
    </xdr:to>
    <xdr:pic>
      <xdr:nvPicPr>
        <xdr:cNvPr id="4" name="Picture 7">
          <a:hlinkClick r:id="rId8"/>
        </xdr:cNvPr>
        <xdr:cNvPicPr preferRelativeResize="1">
          <a:picLocks noChangeAspect="1"/>
        </xdr:cNvPicPr>
      </xdr:nvPicPr>
      <xdr:blipFill>
        <a:blip r:embed="rId1"/>
        <a:stretch>
          <a:fillRect/>
        </a:stretch>
      </xdr:blipFill>
      <xdr:spPr>
        <a:xfrm>
          <a:off x="10248900" y="7648575"/>
          <a:ext cx="1114425" cy="476250"/>
        </a:xfrm>
        <a:prstGeom prst="rect">
          <a:avLst/>
        </a:prstGeom>
        <a:noFill/>
        <a:ln w="9525" cmpd="sng">
          <a:noFill/>
        </a:ln>
      </xdr:spPr>
    </xdr:pic>
    <xdr:clientData/>
  </xdr:twoCellAnchor>
  <xdr:twoCellAnchor>
    <xdr:from>
      <xdr:col>21</xdr:col>
      <xdr:colOff>314325</xdr:colOff>
      <xdr:row>6</xdr:row>
      <xdr:rowOff>180975</xdr:rowOff>
    </xdr:from>
    <xdr:to>
      <xdr:col>21</xdr:col>
      <xdr:colOff>1400175</xdr:colOff>
      <xdr:row>8</xdr:row>
      <xdr:rowOff>114300</xdr:rowOff>
    </xdr:to>
    <xdr:sp>
      <xdr:nvSpPr>
        <xdr:cNvPr id="5" name="TextBox 12"/>
        <xdr:cNvSpPr txBox="1">
          <a:spLocks noChangeArrowheads="1"/>
        </xdr:cNvSpPr>
      </xdr:nvSpPr>
      <xdr:spPr>
        <a:xfrm>
          <a:off x="10353675" y="1981200"/>
          <a:ext cx="1085850" cy="314325"/>
        </a:xfrm>
        <a:prstGeom prst="rect">
          <a:avLst/>
        </a:prstGeom>
        <a:solidFill>
          <a:srgbClr val="FF9900"/>
        </a:solidFill>
        <a:ln w="9525" cmpd="sng">
          <a:noFill/>
        </a:ln>
      </xdr:spPr>
      <xdr:txBody>
        <a:bodyPr vertOverflow="clip" wrap="square"/>
        <a:p>
          <a:pPr algn="ctr">
            <a:defRPr/>
          </a:pPr>
          <a:r>
            <a:rPr lang="en-US" cap="none" sz="1800" b="1" i="0" u="none" baseline="0">
              <a:solidFill>
                <a:srgbClr val="FFFFFF"/>
              </a:solidFill>
              <a:latin typeface="Arial"/>
              <a:ea typeface="Arial"/>
              <a:cs typeface="Arial"/>
            </a:rPr>
            <a:t>£150</a:t>
          </a:r>
        </a:p>
      </xdr:txBody>
    </xdr:sp>
    <xdr:clientData/>
  </xdr:twoCellAnchor>
  <xdr:twoCellAnchor>
    <xdr:from>
      <xdr:col>21</xdr:col>
      <xdr:colOff>342900</xdr:colOff>
      <xdr:row>11</xdr:row>
      <xdr:rowOff>76200</xdr:rowOff>
    </xdr:from>
    <xdr:to>
      <xdr:col>21</xdr:col>
      <xdr:colOff>1428750</xdr:colOff>
      <xdr:row>13</xdr:row>
      <xdr:rowOff>9525</xdr:rowOff>
    </xdr:to>
    <xdr:sp>
      <xdr:nvSpPr>
        <xdr:cNvPr id="6" name="TextBox 69"/>
        <xdr:cNvSpPr txBox="1">
          <a:spLocks noChangeArrowheads="1"/>
        </xdr:cNvSpPr>
      </xdr:nvSpPr>
      <xdr:spPr>
        <a:xfrm>
          <a:off x="10382250" y="2828925"/>
          <a:ext cx="1085850" cy="314325"/>
        </a:xfrm>
        <a:prstGeom prst="rect">
          <a:avLst/>
        </a:prstGeom>
        <a:solidFill>
          <a:srgbClr val="FF9900"/>
        </a:solidFill>
        <a:ln w="9525" cmpd="sng">
          <a:noFill/>
        </a:ln>
      </xdr:spPr>
      <xdr:txBody>
        <a:bodyPr vertOverflow="clip" wrap="square"/>
        <a:p>
          <a:pPr algn="ctr">
            <a:defRPr/>
          </a:pPr>
          <a:r>
            <a:rPr lang="en-US" cap="none" sz="1800" b="1" i="0" u="none" baseline="0">
              <a:solidFill>
                <a:srgbClr val="FFFFFF"/>
              </a:solidFill>
              <a:latin typeface="Arial"/>
              <a:ea typeface="Arial"/>
              <a:cs typeface="Arial"/>
            </a:rPr>
            <a:t>£25</a:t>
          </a:r>
        </a:p>
      </xdr:txBody>
    </xdr:sp>
    <xdr:clientData/>
  </xdr:twoCellAnchor>
  <xdr:twoCellAnchor editAs="oneCell">
    <xdr:from>
      <xdr:col>21</xdr:col>
      <xdr:colOff>266700</xdr:colOff>
      <xdr:row>17</xdr:row>
      <xdr:rowOff>85725</xdr:rowOff>
    </xdr:from>
    <xdr:to>
      <xdr:col>21</xdr:col>
      <xdr:colOff>1371600</xdr:colOff>
      <xdr:row>22</xdr:row>
      <xdr:rowOff>142875</xdr:rowOff>
    </xdr:to>
    <xdr:pic>
      <xdr:nvPicPr>
        <xdr:cNvPr id="7" name="Picture 71">
          <a:hlinkClick r:id="rId11"/>
        </xdr:cNvPr>
        <xdr:cNvPicPr preferRelativeResize="1">
          <a:picLocks noChangeAspect="1"/>
        </xdr:cNvPicPr>
      </xdr:nvPicPr>
      <xdr:blipFill>
        <a:blip r:embed="rId9"/>
        <a:srcRect t="4280" r="50520" b="28015"/>
        <a:stretch>
          <a:fillRect/>
        </a:stretch>
      </xdr:blipFill>
      <xdr:spPr>
        <a:xfrm>
          <a:off x="10306050" y="3981450"/>
          <a:ext cx="1104900" cy="1009650"/>
        </a:xfrm>
        <a:prstGeom prst="rect">
          <a:avLst/>
        </a:prstGeom>
        <a:noFill/>
        <a:ln w="9525" cmpd="sng">
          <a:noFill/>
        </a:ln>
      </xdr:spPr>
    </xdr:pic>
    <xdr:clientData/>
  </xdr:twoCellAnchor>
  <xdr:twoCellAnchor editAs="oneCell">
    <xdr:from>
      <xdr:col>21</xdr:col>
      <xdr:colOff>76200</xdr:colOff>
      <xdr:row>42</xdr:row>
      <xdr:rowOff>152400</xdr:rowOff>
    </xdr:from>
    <xdr:to>
      <xdr:col>21</xdr:col>
      <xdr:colOff>1590675</xdr:colOff>
      <xdr:row>44</xdr:row>
      <xdr:rowOff>161925</xdr:rowOff>
    </xdr:to>
    <xdr:pic>
      <xdr:nvPicPr>
        <xdr:cNvPr id="8" name="Picture 72"/>
        <xdr:cNvPicPr preferRelativeResize="1">
          <a:picLocks noChangeAspect="1"/>
        </xdr:cNvPicPr>
      </xdr:nvPicPr>
      <xdr:blipFill>
        <a:blip r:embed="rId12"/>
        <a:stretch>
          <a:fillRect/>
        </a:stretch>
      </xdr:blipFill>
      <xdr:spPr>
        <a:xfrm>
          <a:off x="10115550" y="9039225"/>
          <a:ext cx="15144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542925</xdr:colOff>
      <xdr:row>1</xdr:row>
      <xdr:rowOff>0</xdr:rowOff>
    </xdr:from>
    <xdr:to>
      <xdr:col>21</xdr:col>
      <xdr:colOff>1533525</xdr:colOff>
      <xdr:row>2</xdr:row>
      <xdr:rowOff>66675</xdr:rowOff>
    </xdr:to>
    <xdr:pic>
      <xdr:nvPicPr>
        <xdr:cNvPr id="1" name="Picture 9">
          <a:hlinkClick r:id="rId3"/>
        </xdr:cNvPr>
        <xdr:cNvPicPr preferRelativeResize="1">
          <a:picLocks noChangeAspect="1"/>
        </xdr:cNvPicPr>
      </xdr:nvPicPr>
      <xdr:blipFill>
        <a:blip r:embed="rId1"/>
        <a:stretch>
          <a:fillRect/>
        </a:stretch>
      </xdr:blipFill>
      <xdr:spPr>
        <a:xfrm>
          <a:off x="10629900" y="590550"/>
          <a:ext cx="990600" cy="457200"/>
        </a:xfrm>
        <a:prstGeom prst="rect">
          <a:avLst/>
        </a:prstGeom>
        <a:noFill/>
        <a:ln w="9525" cmpd="sng">
          <a:noFill/>
        </a:ln>
      </xdr:spPr>
    </xdr:pic>
    <xdr:clientData/>
  </xdr:twoCellAnchor>
  <xdr:twoCellAnchor>
    <xdr:from>
      <xdr:col>21</xdr:col>
      <xdr:colOff>352425</xdr:colOff>
      <xdr:row>7</xdr:row>
      <xdr:rowOff>28575</xdr:rowOff>
    </xdr:from>
    <xdr:to>
      <xdr:col>21</xdr:col>
      <xdr:colOff>1438275</xdr:colOff>
      <xdr:row>8</xdr:row>
      <xdr:rowOff>200025</xdr:rowOff>
    </xdr:to>
    <xdr:sp>
      <xdr:nvSpPr>
        <xdr:cNvPr id="2" name="TextBox 12"/>
        <xdr:cNvSpPr txBox="1">
          <a:spLocks noChangeArrowheads="1"/>
        </xdr:cNvSpPr>
      </xdr:nvSpPr>
      <xdr:spPr>
        <a:xfrm>
          <a:off x="10439400" y="2200275"/>
          <a:ext cx="1085850" cy="381000"/>
        </a:xfrm>
        <a:prstGeom prst="rect">
          <a:avLst/>
        </a:prstGeom>
        <a:solidFill>
          <a:srgbClr val="FF9900"/>
        </a:solidFill>
        <a:ln w="9525" cmpd="sng">
          <a:noFill/>
        </a:ln>
      </xdr:spPr>
      <xdr:txBody>
        <a:bodyPr vertOverflow="clip" wrap="square"/>
        <a:p>
          <a:pPr algn="ctr">
            <a:defRPr/>
          </a:pPr>
          <a:r>
            <a:rPr lang="en-US" cap="none" sz="1800" b="1" i="0" u="none" baseline="0">
              <a:solidFill>
                <a:srgbClr val="FFFFFF"/>
              </a:solidFill>
              <a:latin typeface="Arial"/>
              <a:ea typeface="Arial"/>
              <a:cs typeface="Arial"/>
            </a:rPr>
            <a:t>£250</a:t>
          </a:r>
        </a:p>
      </xdr:txBody>
    </xdr:sp>
    <xdr:clientData/>
  </xdr:twoCellAnchor>
  <xdr:twoCellAnchor editAs="oneCell">
    <xdr:from>
      <xdr:col>21</xdr:col>
      <xdr:colOff>95250</xdr:colOff>
      <xdr:row>26</xdr:row>
      <xdr:rowOff>66675</xdr:rowOff>
    </xdr:from>
    <xdr:to>
      <xdr:col>21</xdr:col>
      <xdr:colOff>1552575</xdr:colOff>
      <xdr:row>30</xdr:row>
      <xdr:rowOff>47625</xdr:rowOff>
    </xdr:to>
    <xdr:pic>
      <xdr:nvPicPr>
        <xdr:cNvPr id="3" name="Picture 14">
          <a:hlinkClick r:id="rId6"/>
        </xdr:cNvPr>
        <xdr:cNvPicPr preferRelativeResize="1">
          <a:picLocks noChangeAspect="1"/>
        </xdr:cNvPicPr>
      </xdr:nvPicPr>
      <xdr:blipFill>
        <a:blip r:embed="rId4"/>
        <a:stretch>
          <a:fillRect/>
        </a:stretch>
      </xdr:blipFill>
      <xdr:spPr>
        <a:xfrm>
          <a:off x="10182225" y="6276975"/>
          <a:ext cx="1457325" cy="819150"/>
        </a:xfrm>
        <a:prstGeom prst="rect">
          <a:avLst/>
        </a:prstGeom>
        <a:noFill/>
        <a:ln w="9525" cmpd="sng">
          <a:noFill/>
        </a:ln>
      </xdr:spPr>
    </xdr:pic>
    <xdr:clientData/>
  </xdr:twoCellAnchor>
  <xdr:twoCellAnchor editAs="oneCell">
    <xdr:from>
      <xdr:col>21</xdr:col>
      <xdr:colOff>209550</xdr:colOff>
      <xdr:row>36</xdr:row>
      <xdr:rowOff>19050</xdr:rowOff>
    </xdr:from>
    <xdr:to>
      <xdr:col>21</xdr:col>
      <xdr:colOff>1323975</xdr:colOff>
      <xdr:row>38</xdr:row>
      <xdr:rowOff>76200</xdr:rowOff>
    </xdr:to>
    <xdr:pic>
      <xdr:nvPicPr>
        <xdr:cNvPr id="4" name="Picture 15">
          <a:hlinkClick r:id="rId8"/>
        </xdr:cNvPr>
        <xdr:cNvPicPr preferRelativeResize="1">
          <a:picLocks noChangeAspect="1"/>
        </xdr:cNvPicPr>
      </xdr:nvPicPr>
      <xdr:blipFill>
        <a:blip r:embed="rId1"/>
        <a:stretch>
          <a:fillRect/>
        </a:stretch>
      </xdr:blipFill>
      <xdr:spPr>
        <a:xfrm>
          <a:off x="10296525" y="8324850"/>
          <a:ext cx="1114425" cy="476250"/>
        </a:xfrm>
        <a:prstGeom prst="rect">
          <a:avLst/>
        </a:prstGeom>
        <a:noFill/>
        <a:ln w="9525" cmpd="sng">
          <a:noFill/>
        </a:ln>
      </xdr:spPr>
    </xdr:pic>
    <xdr:clientData/>
  </xdr:twoCellAnchor>
  <xdr:twoCellAnchor>
    <xdr:from>
      <xdr:col>21</xdr:col>
      <xdr:colOff>295275</xdr:colOff>
      <xdr:row>7</xdr:row>
      <xdr:rowOff>28575</xdr:rowOff>
    </xdr:from>
    <xdr:to>
      <xdr:col>21</xdr:col>
      <xdr:colOff>1381125</xdr:colOff>
      <xdr:row>8</xdr:row>
      <xdr:rowOff>200025</xdr:rowOff>
    </xdr:to>
    <xdr:sp>
      <xdr:nvSpPr>
        <xdr:cNvPr id="5" name="TextBox 16"/>
        <xdr:cNvSpPr txBox="1">
          <a:spLocks noChangeArrowheads="1"/>
        </xdr:cNvSpPr>
      </xdr:nvSpPr>
      <xdr:spPr>
        <a:xfrm>
          <a:off x="10382250" y="2200275"/>
          <a:ext cx="1085850" cy="381000"/>
        </a:xfrm>
        <a:prstGeom prst="rect">
          <a:avLst/>
        </a:prstGeom>
        <a:solidFill>
          <a:srgbClr val="FF9900"/>
        </a:solidFill>
        <a:ln w="9525" cmpd="sng">
          <a:noFill/>
        </a:ln>
      </xdr:spPr>
      <xdr:txBody>
        <a:bodyPr vertOverflow="clip" wrap="square"/>
        <a:p>
          <a:pPr algn="ctr">
            <a:defRPr/>
          </a:pPr>
          <a:r>
            <a:rPr lang="en-US" cap="none" sz="1800" b="1" i="0" u="none" baseline="0">
              <a:solidFill>
                <a:srgbClr val="FFFFFF"/>
              </a:solidFill>
              <a:latin typeface="Arial"/>
              <a:ea typeface="Arial"/>
              <a:cs typeface="Arial"/>
            </a:rPr>
            <a:t>£150</a:t>
          </a:r>
        </a:p>
      </xdr:txBody>
    </xdr:sp>
    <xdr:clientData/>
  </xdr:twoCellAnchor>
  <xdr:twoCellAnchor>
    <xdr:from>
      <xdr:col>21</xdr:col>
      <xdr:colOff>295275</xdr:colOff>
      <xdr:row>11</xdr:row>
      <xdr:rowOff>190500</xdr:rowOff>
    </xdr:from>
    <xdr:to>
      <xdr:col>21</xdr:col>
      <xdr:colOff>1381125</xdr:colOff>
      <xdr:row>13</xdr:row>
      <xdr:rowOff>123825</xdr:rowOff>
    </xdr:to>
    <xdr:sp>
      <xdr:nvSpPr>
        <xdr:cNvPr id="6" name="TextBox 17"/>
        <xdr:cNvSpPr txBox="1">
          <a:spLocks noChangeArrowheads="1"/>
        </xdr:cNvSpPr>
      </xdr:nvSpPr>
      <xdr:spPr>
        <a:xfrm>
          <a:off x="10382250" y="3257550"/>
          <a:ext cx="1085850" cy="352425"/>
        </a:xfrm>
        <a:prstGeom prst="rect">
          <a:avLst/>
        </a:prstGeom>
        <a:solidFill>
          <a:srgbClr val="FF9900"/>
        </a:solidFill>
        <a:ln w="9525" cmpd="sng">
          <a:noFill/>
        </a:ln>
      </xdr:spPr>
      <xdr:txBody>
        <a:bodyPr vertOverflow="clip" wrap="square"/>
        <a:p>
          <a:pPr algn="ctr">
            <a:defRPr/>
          </a:pPr>
          <a:r>
            <a:rPr lang="en-US" cap="none" sz="1800" b="1" i="0" u="none" baseline="0">
              <a:solidFill>
                <a:srgbClr val="FFFFFF"/>
              </a:solidFill>
              <a:latin typeface="Arial"/>
              <a:ea typeface="Arial"/>
              <a:cs typeface="Arial"/>
            </a:rPr>
            <a:t>£25</a:t>
          </a:r>
        </a:p>
      </xdr:txBody>
    </xdr:sp>
    <xdr:clientData/>
  </xdr:twoCellAnchor>
  <xdr:twoCellAnchor editAs="oneCell">
    <xdr:from>
      <xdr:col>21</xdr:col>
      <xdr:colOff>266700</xdr:colOff>
      <xdr:row>17</xdr:row>
      <xdr:rowOff>85725</xdr:rowOff>
    </xdr:from>
    <xdr:to>
      <xdr:col>21</xdr:col>
      <xdr:colOff>1371600</xdr:colOff>
      <xdr:row>22</xdr:row>
      <xdr:rowOff>47625</xdr:rowOff>
    </xdr:to>
    <xdr:pic>
      <xdr:nvPicPr>
        <xdr:cNvPr id="7" name="Picture 18">
          <a:hlinkClick r:id="rId11"/>
        </xdr:cNvPr>
        <xdr:cNvPicPr preferRelativeResize="1">
          <a:picLocks noChangeAspect="1"/>
        </xdr:cNvPicPr>
      </xdr:nvPicPr>
      <xdr:blipFill>
        <a:blip r:embed="rId9"/>
        <a:srcRect t="4280" r="50520" b="28015"/>
        <a:stretch>
          <a:fillRect/>
        </a:stretch>
      </xdr:blipFill>
      <xdr:spPr>
        <a:xfrm>
          <a:off x="10353675" y="4410075"/>
          <a:ext cx="1104900" cy="1009650"/>
        </a:xfrm>
        <a:prstGeom prst="rect">
          <a:avLst/>
        </a:prstGeom>
        <a:noFill/>
        <a:ln w="9525" cmpd="sng">
          <a:noFill/>
        </a:ln>
      </xdr:spPr>
    </xdr:pic>
    <xdr:clientData/>
  </xdr:twoCellAnchor>
  <xdr:twoCellAnchor editAs="oneCell">
    <xdr:from>
      <xdr:col>21</xdr:col>
      <xdr:colOff>76200</xdr:colOff>
      <xdr:row>42</xdr:row>
      <xdr:rowOff>152400</xdr:rowOff>
    </xdr:from>
    <xdr:to>
      <xdr:col>21</xdr:col>
      <xdr:colOff>1590675</xdr:colOff>
      <xdr:row>44</xdr:row>
      <xdr:rowOff>161925</xdr:rowOff>
    </xdr:to>
    <xdr:pic>
      <xdr:nvPicPr>
        <xdr:cNvPr id="8" name="Picture 19">
          <a:hlinkClick r:id="rId14"/>
        </xdr:cNvPr>
        <xdr:cNvPicPr preferRelativeResize="1">
          <a:picLocks noChangeAspect="1"/>
        </xdr:cNvPicPr>
      </xdr:nvPicPr>
      <xdr:blipFill>
        <a:blip r:embed="rId12"/>
        <a:stretch>
          <a:fillRect/>
        </a:stretch>
      </xdr:blipFill>
      <xdr:spPr>
        <a:xfrm>
          <a:off x="10163175" y="9715500"/>
          <a:ext cx="15144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opcorner.it/popups/CamdenLeagueInfoSpr06.ht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2"/>
  </sheetPr>
  <dimension ref="A1:BU132"/>
  <sheetViews>
    <sheetView showGridLines="0" showRowColHeaders="0" tabSelected="1" zoomScale="75" zoomScaleNormal="75" workbookViewId="0" topLeftCell="A1">
      <selection activeCell="BP36" sqref="BP36"/>
    </sheetView>
  </sheetViews>
  <sheetFormatPr defaultColWidth="9.140625" defaultRowHeight="12.75"/>
  <cols>
    <col min="1" max="1" width="2.57421875" style="12" customWidth="1"/>
    <col min="2" max="2" width="9.00390625" style="12" customWidth="1"/>
    <col min="3" max="3" width="9.28125" style="12" bestFit="1" customWidth="1"/>
    <col min="4" max="4" width="3.28125" style="12" customWidth="1"/>
    <col min="5" max="5" width="17.57421875" style="31" customWidth="1"/>
    <col min="6" max="6" width="3.57421875" style="12" customWidth="1"/>
    <col min="7" max="7" width="3.421875" style="12" customWidth="1"/>
    <col min="8" max="8" width="17.7109375" style="162" customWidth="1"/>
    <col min="9" max="9" width="12.00390625" style="12" customWidth="1"/>
    <col min="10" max="10" width="5.140625" style="12" customWidth="1"/>
    <col min="11" max="11" width="19.8515625" style="12" customWidth="1"/>
    <col min="12" max="19" width="3.57421875" style="12" customWidth="1"/>
    <col min="20" max="20" width="15.57421875" style="12" customWidth="1"/>
    <col min="21" max="21" width="3.00390625" style="88" customWidth="1"/>
    <col min="22" max="22" width="25.421875" style="12" customWidth="1"/>
    <col min="23" max="23" width="2.421875" style="12" customWidth="1"/>
    <col min="24" max="24" width="12.140625" style="112" hidden="1" customWidth="1"/>
    <col min="25" max="26" width="2.421875" style="112" hidden="1" customWidth="1"/>
    <col min="27" max="31" width="13.8515625" style="112" hidden="1" customWidth="1"/>
    <col min="32" max="32" width="16.28125" style="112" hidden="1" customWidth="1"/>
    <col min="33" max="33" width="3.57421875" style="112" hidden="1" customWidth="1"/>
    <col min="34" max="34" width="3.8515625" style="112" hidden="1" customWidth="1"/>
    <col min="35" max="39" width="13.8515625" style="112" hidden="1" customWidth="1"/>
    <col min="40" max="43" width="9.421875" style="112" hidden="1" customWidth="1"/>
    <col min="44" max="44" width="17.140625" style="112" hidden="1" customWidth="1"/>
    <col min="45" max="45" width="5.140625" style="112" hidden="1" customWidth="1"/>
    <col min="46" max="46" width="5.7109375" style="112" hidden="1" customWidth="1"/>
    <col min="47" max="47" width="4.7109375" style="112" hidden="1" customWidth="1"/>
    <col min="48" max="48" width="4.140625" style="112" hidden="1" customWidth="1"/>
    <col min="49" max="50" width="4.8515625" style="112" hidden="1" customWidth="1"/>
    <col min="51" max="51" width="4.00390625" style="112" hidden="1" customWidth="1"/>
    <col min="52" max="52" width="4.57421875" style="112" hidden="1" customWidth="1"/>
    <col min="53" max="55" width="4.7109375" style="112" hidden="1" customWidth="1"/>
    <col min="56" max="58" width="13.8515625" style="112" hidden="1" customWidth="1"/>
    <col min="59" max="59" width="13.8515625" style="112" customWidth="1"/>
    <col min="60" max="67" width="4.28125" style="112" customWidth="1"/>
    <col min="68" max="76" width="13.8515625" style="112" customWidth="1"/>
    <col min="77" max="98" width="9.140625" style="112" customWidth="1"/>
    <col min="99" max="16384" width="9.140625" style="12" customWidth="1"/>
  </cols>
  <sheetData>
    <row r="1" spans="1:73" ht="43.5" customHeight="1" thickBot="1">
      <c r="A1" s="1"/>
      <c r="B1" s="184">
        <f>IF(DAYS360(X3,X2)&gt;0,DAYS360(X3,X2),0)</f>
        <v>15</v>
      </c>
      <c r="C1" s="1"/>
      <c r="D1" s="1"/>
      <c r="E1" s="3"/>
      <c r="F1" s="1"/>
      <c r="G1" s="4"/>
      <c r="H1" s="192" t="s">
        <v>50</v>
      </c>
      <c r="I1" s="5"/>
      <c r="J1" s="5"/>
      <c r="K1" s="5"/>
      <c r="L1" s="4"/>
      <c r="M1" s="4"/>
      <c r="N1" s="4"/>
      <c r="O1" s="4"/>
      <c r="P1" s="4"/>
      <c r="Q1" s="4"/>
      <c r="R1" s="4"/>
      <c r="S1" s="4"/>
      <c r="T1" s="6"/>
      <c r="U1" s="6"/>
      <c r="V1" s="7" t="s">
        <v>0</v>
      </c>
      <c r="W1" s="4"/>
      <c r="X1" s="18"/>
      <c r="Y1" s="32"/>
      <c r="Z1" s="32"/>
      <c r="AA1" s="108"/>
      <c r="AB1" s="135"/>
      <c r="AC1" s="135"/>
      <c r="AD1" s="135"/>
      <c r="AE1" s="135"/>
      <c r="AF1" s="135"/>
      <c r="AG1" s="135"/>
      <c r="AH1" s="135"/>
      <c r="AI1" s="135"/>
      <c r="AJ1" s="135"/>
      <c r="AK1" s="135"/>
      <c r="AL1" s="135"/>
      <c r="AM1" s="135"/>
      <c r="AN1" s="108"/>
      <c r="AO1" s="108"/>
      <c r="AP1" s="108"/>
      <c r="AQ1" s="108"/>
      <c r="AR1" s="109"/>
      <c r="AS1" s="108"/>
      <c r="AT1" s="108"/>
      <c r="AU1" s="108"/>
      <c r="AV1" s="108"/>
      <c r="AW1" s="108"/>
      <c r="AX1" s="108"/>
      <c r="AY1" s="108"/>
      <c r="AZ1" s="108"/>
      <c r="BA1" s="108"/>
      <c r="BB1" s="108"/>
      <c r="BC1" s="108"/>
      <c r="BD1" s="108"/>
      <c r="BE1" s="108"/>
      <c r="BF1" s="136"/>
      <c r="BG1" s="108"/>
      <c r="BH1" s="108"/>
      <c r="BI1" s="110"/>
      <c r="BJ1" s="110"/>
      <c r="BK1" s="110"/>
      <c r="BL1" s="110"/>
      <c r="BM1" s="110"/>
      <c r="BN1" s="110"/>
      <c r="BO1" s="110"/>
      <c r="BP1" s="110"/>
      <c r="BQ1" s="109"/>
      <c r="BR1" s="109"/>
      <c r="BS1" s="109"/>
      <c r="BT1" s="111"/>
      <c r="BU1" s="111"/>
    </row>
    <row r="2" spans="1:73" ht="27" customHeight="1" thickBot="1">
      <c r="A2" s="1"/>
      <c r="B2" s="79" t="s">
        <v>1</v>
      </c>
      <c r="C2" s="13"/>
      <c r="D2" s="13"/>
      <c r="E2" s="14"/>
      <c r="F2" s="13"/>
      <c r="G2" s="13"/>
      <c r="H2" s="97" t="s">
        <v>51</v>
      </c>
      <c r="I2" s="15"/>
      <c r="J2" s="5"/>
      <c r="K2" s="5"/>
      <c r="L2" s="104"/>
      <c r="M2" s="105"/>
      <c r="N2" s="105"/>
      <c r="O2" s="107"/>
      <c r="P2" s="105"/>
      <c r="Q2" s="107"/>
      <c r="R2" s="117" t="str">
        <f>IF('The Results'!G54="","Your Points So Far:","Your Total Points:")</f>
        <v>Your Points So Far:</v>
      </c>
      <c r="S2" s="106"/>
      <c r="T2" s="99">
        <f>SUM(I5+T5+I56)</f>
        <v>0</v>
      </c>
      <c r="U2" s="74"/>
      <c r="V2" s="4"/>
      <c r="W2" s="4"/>
      <c r="X2" s="16">
        <v>38877</v>
      </c>
      <c r="Y2" s="32"/>
      <c r="Z2" s="32"/>
      <c r="AA2" s="108"/>
      <c r="AB2" s="135"/>
      <c r="AC2" s="135"/>
      <c r="AD2" s="135"/>
      <c r="AE2" s="135"/>
      <c r="AF2" s="135"/>
      <c r="AG2" s="135"/>
      <c r="AH2" s="135"/>
      <c r="AI2" s="135"/>
      <c r="AJ2" s="135"/>
      <c r="AK2" s="135"/>
      <c r="AL2" s="135"/>
      <c r="AM2" s="135"/>
      <c r="AN2" s="108"/>
      <c r="AO2" s="108"/>
      <c r="AP2" s="108"/>
      <c r="AQ2" s="108"/>
      <c r="AR2" s="137"/>
      <c r="AS2" s="108"/>
      <c r="AT2" s="108"/>
      <c r="AU2" s="108"/>
      <c r="AV2" s="108"/>
      <c r="AW2" s="108"/>
      <c r="AX2" s="108"/>
      <c r="AY2" s="108"/>
      <c r="AZ2" s="108"/>
      <c r="BA2" s="108"/>
      <c r="BB2" s="108"/>
      <c r="BC2" s="108"/>
      <c r="BD2" s="108"/>
      <c r="BE2" s="108"/>
      <c r="BF2" s="136"/>
      <c r="BG2" s="108"/>
      <c r="BH2" s="108"/>
      <c r="BI2" s="110"/>
      <c r="BJ2" s="110"/>
      <c r="BK2" s="110"/>
      <c r="BL2" s="110"/>
      <c r="BM2" s="110"/>
      <c r="BN2" s="110"/>
      <c r="BO2" s="110"/>
      <c r="BP2" s="110"/>
      <c r="BQ2" s="109"/>
      <c r="BR2" s="109"/>
      <c r="BS2" s="109"/>
      <c r="BT2" s="111"/>
      <c r="BU2" s="111"/>
    </row>
    <row r="3" spans="1:73" ht="24" customHeight="1">
      <c r="A3" s="1"/>
      <c r="C3" s="13"/>
      <c r="D3" s="13"/>
      <c r="E3" s="14"/>
      <c r="F3" s="13"/>
      <c r="G3" s="13"/>
      <c r="H3" s="123" t="s">
        <v>39</v>
      </c>
      <c r="I3" s="17"/>
      <c r="J3" s="5"/>
      <c r="K3" s="5"/>
      <c r="L3" s="4"/>
      <c r="M3" s="4"/>
      <c r="N3" s="4"/>
      <c r="O3" s="4"/>
      <c r="P3" s="4"/>
      <c r="S3" s="4"/>
      <c r="T3" s="211" t="s">
        <v>2</v>
      </c>
      <c r="U3" s="6"/>
      <c r="V3" s="6"/>
      <c r="W3" s="4"/>
      <c r="X3" s="16">
        <f ca="1">TODAY()</f>
        <v>38861</v>
      </c>
      <c r="Y3" s="32"/>
      <c r="Z3" s="32"/>
      <c r="AA3" s="108"/>
      <c r="AB3" s="135"/>
      <c r="AC3" s="135"/>
      <c r="AD3" s="135"/>
      <c r="AE3" s="135"/>
      <c r="AF3" s="135"/>
      <c r="AG3" s="135"/>
      <c r="AH3" s="135"/>
      <c r="AI3" s="135"/>
      <c r="AJ3" s="135"/>
      <c r="AK3" s="135"/>
      <c r="AL3" s="135"/>
      <c r="AM3" s="135"/>
      <c r="AN3" s="108"/>
      <c r="AO3" s="108"/>
      <c r="AP3" s="108"/>
      <c r="AQ3" s="108"/>
      <c r="AR3" s="137"/>
      <c r="AS3" s="108"/>
      <c r="AT3" s="108"/>
      <c r="AU3" s="108"/>
      <c r="AV3" s="108"/>
      <c r="AW3" s="108"/>
      <c r="AX3" s="108"/>
      <c r="AY3" s="108"/>
      <c r="AZ3" s="108"/>
      <c r="BA3" s="108"/>
      <c r="BB3" s="108"/>
      <c r="BC3" s="108"/>
      <c r="BD3" s="108"/>
      <c r="BE3" s="108"/>
      <c r="BF3" s="136"/>
      <c r="BG3" s="108"/>
      <c r="BH3" s="108"/>
      <c r="BI3" s="110"/>
      <c r="BJ3" s="110"/>
      <c r="BK3" s="110"/>
      <c r="BL3" s="110"/>
      <c r="BM3" s="110"/>
      <c r="BN3" s="110"/>
      <c r="BO3" s="110"/>
      <c r="BP3" s="110"/>
      <c r="BQ3" s="109"/>
      <c r="BR3" s="109"/>
      <c r="BS3" s="109"/>
      <c r="BT3" s="111"/>
      <c r="BU3" s="111"/>
    </row>
    <row r="4" spans="1:73" ht="13.5">
      <c r="A4" s="1"/>
      <c r="B4" s="2"/>
      <c r="C4" s="1"/>
      <c r="D4" s="1"/>
      <c r="E4" s="3"/>
      <c r="F4" s="1"/>
      <c r="G4" s="4"/>
      <c r="H4" s="167"/>
      <c r="I4" s="4" t="s">
        <v>44</v>
      </c>
      <c r="J4" s="5"/>
      <c r="K4" s="5"/>
      <c r="L4" s="4"/>
      <c r="M4" s="4"/>
      <c r="N4" s="4"/>
      <c r="O4" s="4"/>
      <c r="P4" s="4"/>
      <c r="Q4" s="4"/>
      <c r="R4" s="4"/>
      <c r="S4" s="4"/>
      <c r="T4" s="4" t="s">
        <v>45</v>
      </c>
      <c r="U4" s="4"/>
      <c r="V4" s="4"/>
      <c r="W4" s="4"/>
      <c r="X4" s="18"/>
      <c r="Y4" s="32"/>
      <c r="Z4" s="32"/>
      <c r="AA4" s="108"/>
      <c r="AB4" s="135"/>
      <c r="AC4" s="135"/>
      <c r="AD4" s="135"/>
      <c r="AE4" s="135"/>
      <c r="AF4" s="135"/>
      <c r="AG4" s="135"/>
      <c r="AH4" s="135"/>
      <c r="AI4" s="135"/>
      <c r="AJ4" s="135"/>
      <c r="AK4" s="135"/>
      <c r="AL4" s="135"/>
      <c r="AM4" s="135"/>
      <c r="AN4" s="108"/>
      <c r="AO4" s="108"/>
      <c r="AP4" s="108"/>
      <c r="AQ4" s="108"/>
      <c r="AR4" s="137"/>
      <c r="AS4" s="108"/>
      <c r="AT4" s="108"/>
      <c r="AU4" s="108"/>
      <c r="AV4" s="108"/>
      <c r="AW4" s="108"/>
      <c r="AX4" s="108"/>
      <c r="AY4" s="108"/>
      <c r="AZ4" s="108"/>
      <c r="BA4" s="108"/>
      <c r="BB4" s="108"/>
      <c r="BC4" s="108"/>
      <c r="BD4" s="108"/>
      <c r="BE4" s="108"/>
      <c r="BF4" s="136"/>
      <c r="BG4" s="108"/>
      <c r="BH4" s="108"/>
      <c r="BI4" s="110"/>
      <c r="BJ4" s="110"/>
      <c r="BK4" s="110"/>
      <c r="BL4" s="110"/>
      <c r="BM4" s="110"/>
      <c r="BN4" s="110"/>
      <c r="BO4" s="110"/>
      <c r="BP4" s="110"/>
      <c r="BQ4" s="109"/>
      <c r="BR4" s="109"/>
      <c r="BS4" s="109"/>
      <c r="BT4" s="111"/>
      <c r="BU4" s="111"/>
    </row>
    <row r="5" spans="1:73" ht="18.75">
      <c r="A5" s="19"/>
      <c r="B5" s="90" t="s">
        <v>3</v>
      </c>
      <c r="C5" s="91"/>
      <c r="D5" s="92"/>
      <c r="E5" s="93"/>
      <c r="F5" s="91"/>
      <c r="G5" s="91"/>
      <c r="H5" s="169"/>
      <c r="I5" s="94">
        <f>SUM(I7:I54)</f>
        <v>0</v>
      </c>
      <c r="J5" s="95"/>
      <c r="K5" s="90" t="s">
        <v>4</v>
      </c>
      <c r="L5" s="91"/>
      <c r="M5" s="96"/>
      <c r="N5" s="92"/>
      <c r="O5" s="94"/>
      <c r="P5" s="91"/>
      <c r="Q5" s="91"/>
      <c r="R5" s="91"/>
      <c r="S5" s="91"/>
      <c r="T5" s="94">
        <f>SUM(T6:T52)</f>
        <v>0</v>
      </c>
      <c r="U5" s="74"/>
      <c r="W5" s="4"/>
      <c r="X5" s="18"/>
      <c r="Y5" s="32"/>
      <c r="Z5" s="32"/>
      <c r="AA5" s="108"/>
      <c r="AB5" s="135"/>
      <c r="AC5" s="135"/>
      <c r="AD5" s="135" t="s">
        <v>42</v>
      </c>
      <c r="AE5" s="135"/>
      <c r="AF5" s="135"/>
      <c r="AG5" s="135"/>
      <c r="AH5" s="135"/>
      <c r="AI5" s="135"/>
      <c r="AJ5" s="135"/>
      <c r="AK5" s="135"/>
      <c r="AL5" s="135"/>
      <c r="AM5" s="135"/>
      <c r="AN5" s="108"/>
      <c r="AO5" s="108"/>
      <c r="AP5" s="108"/>
      <c r="AQ5" s="108"/>
      <c r="AR5" s="108"/>
      <c r="AS5" s="108"/>
      <c r="AT5" s="108"/>
      <c r="AU5" s="108"/>
      <c r="AV5" s="108"/>
      <c r="AW5" s="108"/>
      <c r="AX5" s="108"/>
      <c r="AY5" s="108"/>
      <c r="AZ5" s="108"/>
      <c r="BA5" s="108"/>
      <c r="BB5" s="108"/>
      <c r="BC5" s="108"/>
      <c r="BD5" s="108"/>
      <c r="BE5" s="108"/>
      <c r="BF5" s="136"/>
      <c r="BG5" s="108"/>
      <c r="BH5" s="108"/>
      <c r="BI5" s="110"/>
      <c r="BJ5" s="110"/>
      <c r="BK5" s="110"/>
      <c r="BL5" s="110"/>
      <c r="BM5" s="110"/>
      <c r="BN5" s="110"/>
      <c r="BO5" s="110"/>
      <c r="BP5" s="110"/>
      <c r="BQ5" s="110"/>
      <c r="BR5" s="110"/>
      <c r="BS5" s="110"/>
      <c r="BT5" s="113"/>
      <c r="BU5" s="113"/>
    </row>
    <row r="6" spans="1:73" ht="15" customHeight="1" thickBot="1">
      <c r="A6" s="19"/>
      <c r="B6" s="75"/>
      <c r="C6" s="76" t="s">
        <v>5</v>
      </c>
      <c r="D6" s="76"/>
      <c r="E6" s="77"/>
      <c r="F6" s="76"/>
      <c r="G6" s="76"/>
      <c r="H6" s="161"/>
      <c r="I6" s="53"/>
      <c r="J6" s="22"/>
      <c r="K6" s="76" t="s">
        <v>6</v>
      </c>
      <c r="L6" s="87" t="s">
        <v>7</v>
      </c>
      <c r="M6" s="87" t="s">
        <v>8</v>
      </c>
      <c r="N6" s="87" t="s">
        <v>9</v>
      </c>
      <c r="O6" s="87" t="s">
        <v>10</v>
      </c>
      <c r="P6" s="87" t="s">
        <v>11</v>
      </c>
      <c r="Q6" s="87" t="s">
        <v>12</v>
      </c>
      <c r="R6" s="87" t="s">
        <v>13</v>
      </c>
      <c r="S6" s="87" t="s">
        <v>14</v>
      </c>
      <c r="T6" s="6"/>
      <c r="U6" s="6"/>
      <c r="V6" s="89"/>
      <c r="W6" s="23"/>
      <c r="X6" s="24"/>
      <c r="Y6" s="24"/>
      <c r="Z6" s="113"/>
      <c r="AA6" s="110"/>
      <c r="AC6" s="138" t="s">
        <v>40</v>
      </c>
      <c r="AD6" s="138">
        <f>'The Results'!AD5</f>
        <v>0</v>
      </c>
      <c r="AE6" s="138" t="s">
        <v>43</v>
      </c>
      <c r="AF6" s="138"/>
      <c r="AG6" s="138"/>
      <c r="AH6" s="138"/>
      <c r="AI6" s="135"/>
      <c r="AJ6" s="135"/>
      <c r="AK6" s="135" t="s">
        <v>15</v>
      </c>
      <c r="AL6" s="135" t="s">
        <v>16</v>
      </c>
      <c r="AM6" s="135"/>
      <c r="AN6" s="108"/>
      <c r="AO6" s="108"/>
      <c r="AP6" s="108"/>
      <c r="AQ6" s="108"/>
      <c r="AR6" s="143" t="s">
        <v>6</v>
      </c>
      <c r="AS6" s="108" t="s">
        <v>7</v>
      </c>
      <c r="AT6" s="108" t="s">
        <v>8</v>
      </c>
      <c r="AU6" s="108" t="s">
        <v>9</v>
      </c>
      <c r="AV6" s="108" t="s">
        <v>10</v>
      </c>
      <c r="AW6" s="108" t="s">
        <v>11</v>
      </c>
      <c r="AX6" s="108" t="s">
        <v>12</v>
      </c>
      <c r="AY6" s="108" t="s">
        <v>17</v>
      </c>
      <c r="AZ6" s="108" t="s">
        <v>14</v>
      </c>
      <c r="BA6" s="108"/>
      <c r="BB6" s="108"/>
      <c r="BC6" s="108"/>
      <c r="BD6" s="108"/>
      <c r="BE6" s="108"/>
      <c r="BF6" s="136"/>
      <c r="BG6" s="108"/>
      <c r="BH6" s="108"/>
      <c r="BI6" s="110"/>
      <c r="BJ6" s="110"/>
      <c r="BK6" s="110"/>
      <c r="BL6" s="110"/>
      <c r="BM6" s="110"/>
      <c r="BN6" s="110"/>
      <c r="BO6" s="110"/>
      <c r="BP6" s="110"/>
      <c r="BQ6" s="110"/>
      <c r="BR6" s="110"/>
      <c r="BS6" s="110"/>
      <c r="BT6" s="113"/>
      <c r="BU6" s="113"/>
    </row>
    <row r="7" spans="1:73" ht="15" customHeight="1" thickBot="1">
      <c r="A7" s="4"/>
      <c r="B7" s="80" t="s">
        <v>73</v>
      </c>
      <c r="C7" s="80">
        <v>38512</v>
      </c>
      <c r="D7" s="30"/>
      <c r="E7" s="31" t="s">
        <v>28</v>
      </c>
      <c r="F7" s="78">
        <v>2</v>
      </c>
      <c r="G7" s="78">
        <v>0</v>
      </c>
      <c r="H7" s="162" t="s">
        <v>52</v>
      </c>
      <c r="I7" s="116">
        <f>IF('The Results'!F7&lt;&gt;"",SUM(AN7:AQ7),"")</f>
      </c>
      <c r="J7" s="26"/>
      <c r="K7" s="27" t="str">
        <f>VLOOKUP(BF7,BD7:BE10,2,FALSE)</f>
        <v>Germany</v>
      </c>
      <c r="L7" s="2">
        <f>VLOOKUP(K7,AR7:AZ10,2,FALSE)</f>
        <v>3</v>
      </c>
      <c r="M7" s="2">
        <f>VLOOKUP(K7,AR7:AZ10,3,FALSE)</f>
        <v>3</v>
      </c>
      <c r="N7" s="2">
        <f>VLOOKUP(K7,AR7:AZ10,4,FALSE)</f>
        <v>0</v>
      </c>
      <c r="O7" s="2">
        <f>VLOOKUP(K7,AR7:AZ10,5,FALSE)</f>
        <v>0</v>
      </c>
      <c r="P7" s="2">
        <f>VLOOKUP(K7,AR7:AZ10,6,FALSE)</f>
        <v>6</v>
      </c>
      <c r="Q7" s="2">
        <f>VLOOKUP(K7,AR7:AZ10,7,FALSE)</f>
        <v>1</v>
      </c>
      <c r="R7" s="2">
        <f>VLOOKUP(K7,AR7:AZ10,8,FALSE)</f>
        <v>5</v>
      </c>
      <c r="S7" s="2">
        <f>VLOOKUP(K7,AR7:AZ10,9,FALSE)</f>
        <v>9</v>
      </c>
      <c r="T7" s="84">
        <f>IF('The Results'!L7&gt;0,IF(K7='The Results'!K7,3,0),"")</f>
      </c>
      <c r="U7" s="84"/>
      <c r="V7" s="134" t="s">
        <v>49</v>
      </c>
      <c r="W7" s="28"/>
      <c r="X7" s="111"/>
      <c r="Y7" s="111"/>
      <c r="Z7" s="113"/>
      <c r="AB7" s="112">
        <v>1</v>
      </c>
      <c r="AC7" s="138">
        <f>SUM($F$7:G7)</f>
        <v>2</v>
      </c>
      <c r="AD7" s="138">
        <f>IF(F7="","",ABS(AC7-'The Results'!AC7))</f>
        <v>2</v>
      </c>
      <c r="AE7" s="138">
        <f>INDEX(AD7:AD54,AD6)</f>
        <v>2</v>
      </c>
      <c r="AF7" s="110" t="str">
        <f>IF(ISBLANK(F7),"",E7)</f>
        <v>Germany</v>
      </c>
      <c r="AG7" s="138">
        <f>IF(ISBLANK(G7:H7),"",F7)</f>
        <v>2</v>
      </c>
      <c r="AH7" s="138">
        <f>IF(ISBLANK(J7:AG7),"",G7)</f>
        <v>0</v>
      </c>
      <c r="AI7" s="138" t="str">
        <f>IF(ISBLANK(G7),"",H7)</f>
        <v>Costa Rica</v>
      </c>
      <c r="AJ7" s="138"/>
      <c r="AK7" s="138" t="str">
        <f>IF(AG7&gt;AH7,AF7,IF(AH7&gt;AG7,AI7,"draw"))</f>
        <v>Germany</v>
      </c>
      <c r="AL7" s="110" t="str">
        <f>IF(AG7&lt;AH7,AF7,IF(AH7&lt;AG7,AI7,"draw"))</f>
        <v>Costa Rica</v>
      </c>
      <c r="AM7" s="138"/>
      <c r="AN7" s="139">
        <f>IF(AK7='The Results'!AK7,2,0)</f>
        <v>0</v>
      </c>
      <c r="AO7" s="139">
        <f>IF(AG7='The Results'!AG7,1,0)</f>
        <v>0</v>
      </c>
      <c r="AP7" s="139">
        <f>IF(AH7='The Results'!AH7,1,0)</f>
        <v>1</v>
      </c>
      <c r="AQ7" s="139">
        <f>IF(SUM(AN7:AP7)=4,1,0)</f>
        <v>0</v>
      </c>
      <c r="AR7" s="140" t="s">
        <v>28</v>
      </c>
      <c r="AS7" s="110">
        <f>COUNTIF($AF$7:$AI$54,AR7)</f>
        <v>3</v>
      </c>
      <c r="AT7" s="108">
        <f>COUNTIF(winners,AR7)</f>
        <v>3</v>
      </c>
      <c r="AU7" s="108">
        <f>AS7-(AT7+AV7)</f>
        <v>0</v>
      </c>
      <c r="AV7" s="108">
        <f>COUNTIF(losers,AR7)</f>
        <v>0</v>
      </c>
      <c r="AW7" s="108">
        <f>SUM(GermanyF)</f>
        <v>6</v>
      </c>
      <c r="AX7" s="108">
        <f>SUM(GermanyA)</f>
        <v>1</v>
      </c>
      <c r="AY7" s="108">
        <f>SUM(AW7-AX7)</f>
        <v>5</v>
      </c>
      <c r="AZ7" s="108">
        <f>SUM((AT7*3)+AU7)</f>
        <v>9</v>
      </c>
      <c r="BA7" s="108">
        <v>1</v>
      </c>
      <c r="BB7" s="108">
        <f>CODE(MID(AR7,2,1))</f>
        <v>101</v>
      </c>
      <c r="BC7" s="108">
        <f>CODE(AR7)</f>
        <v>71</v>
      </c>
      <c r="BD7" s="110">
        <f>SUM((AZ7*100)+(AY7*10)+(AW7)-(BC7/1000)-(BB7/10000)-(BA7/100000))</f>
        <v>955.91889</v>
      </c>
      <c r="BE7" s="108" t="str">
        <f>AR7</f>
        <v>Germany</v>
      </c>
      <c r="BF7" s="141">
        <f>LARGE(BD7:BD10,1)</f>
        <v>955.91889</v>
      </c>
      <c r="BG7" s="110"/>
      <c r="BH7" s="110"/>
      <c r="BI7" s="110"/>
      <c r="BJ7" s="110"/>
      <c r="BK7" s="110"/>
      <c r="BL7" s="110"/>
      <c r="BM7" s="110"/>
      <c r="BN7" s="110"/>
      <c r="BO7" s="110"/>
      <c r="BP7" s="110"/>
      <c r="BQ7" s="110"/>
      <c r="BR7" s="110">
        <f>IF(SUM(BH7:BH10)=12,BG7,"")</f>
      </c>
      <c r="BS7" s="110"/>
      <c r="BT7" s="113"/>
      <c r="BU7" s="113"/>
    </row>
    <row r="8" spans="1:73" ht="15" customHeight="1" thickBot="1">
      <c r="A8" s="4"/>
      <c r="B8" s="80" t="s">
        <v>73</v>
      </c>
      <c r="C8" s="80">
        <v>38512</v>
      </c>
      <c r="D8" s="30"/>
      <c r="E8" s="31" t="s">
        <v>53</v>
      </c>
      <c r="F8" s="78">
        <v>2</v>
      </c>
      <c r="G8" s="78">
        <v>0</v>
      </c>
      <c r="H8" s="162" t="s">
        <v>54</v>
      </c>
      <c r="I8" s="116">
        <f>IF('The Results'!F8&lt;&gt;"",SUM(AN8:AQ8),"")</f>
      </c>
      <c r="J8" s="32"/>
      <c r="K8" s="27" t="str">
        <f>VLOOKUP(BF8,BD7:BE10,2,FALSE)</f>
        <v>Poland</v>
      </c>
      <c r="L8" s="2">
        <f>VLOOKUP(K8,AR7:AZ10,2,FALSE)</f>
        <v>3</v>
      </c>
      <c r="M8" s="2">
        <f>VLOOKUP(K8,AR7:AZ10,3,FALSE)</f>
        <v>2</v>
      </c>
      <c r="N8" s="2">
        <f>VLOOKUP(K8,AR7:AZ10,4,FALSE)</f>
        <v>0</v>
      </c>
      <c r="O8" s="2">
        <f>VLOOKUP(K8,AR7:AZ10,5,FALSE)</f>
        <v>1</v>
      </c>
      <c r="P8" s="2">
        <f>VLOOKUP(K8,AR7:AZ10,6,FALSE)</f>
        <v>5</v>
      </c>
      <c r="Q8" s="2">
        <f>VLOOKUP(K8,AR7:AZ10,7,FALSE)</f>
        <v>3</v>
      </c>
      <c r="R8" s="2">
        <f>VLOOKUP(K8,AR7:AZ10,8,FALSE)</f>
        <v>2</v>
      </c>
      <c r="S8" s="2">
        <f>VLOOKUP(K8,AR7:AZ10,9,FALSE)</f>
        <v>6</v>
      </c>
      <c r="T8" s="84">
        <f>IF('The Results'!L8&gt;0,IF(K8='The Results'!K8,3,0),"")</f>
      </c>
      <c r="U8" s="84"/>
      <c r="V8" s="122"/>
      <c r="W8" s="33"/>
      <c r="X8" s="142"/>
      <c r="Y8" s="24"/>
      <c r="Z8" s="113"/>
      <c r="AB8" s="112">
        <v>2</v>
      </c>
      <c r="AC8" s="138">
        <f>SUM($F$7:G8)</f>
        <v>4</v>
      </c>
      <c r="AD8" s="138">
        <f>IF(F8="","",ABS(AC8-'The Results'!AC8))</f>
        <v>4</v>
      </c>
      <c r="AE8" s="138"/>
      <c r="AF8" s="110" t="str">
        <f aca="true" t="shared" si="0" ref="AF8:AF49">IF(ISBLANK(F8),"",E8)</f>
        <v>Poland</v>
      </c>
      <c r="AG8" s="138">
        <f aca="true" t="shared" si="1" ref="AG8:AG48">IF(ISBLANK(G8:H8),"",F8)</f>
        <v>2</v>
      </c>
      <c r="AH8" s="138">
        <f aca="true" t="shared" si="2" ref="AH8:AH48">IF(ISBLANK(J8:AG8),"",G8)</f>
        <v>0</v>
      </c>
      <c r="AI8" s="138" t="str">
        <f aca="true" t="shared" si="3" ref="AI8:AI48">IF(ISBLANK(G8),"",H8)</f>
        <v>Ecuador</v>
      </c>
      <c r="AJ8" s="138"/>
      <c r="AK8" s="138" t="str">
        <f aca="true" t="shared" si="4" ref="AK8:AK54">IF(AG8&gt;AH8,AF8,IF(AH8&gt;AG8,AI8,"draw"))</f>
        <v>Poland</v>
      </c>
      <c r="AL8" s="110" t="str">
        <f aca="true" t="shared" si="5" ref="AL8:AL54">IF(AG8&lt;AH8,AF8,IF(AH8&lt;AG8,AI8,"draw"))</f>
        <v>Ecuador</v>
      </c>
      <c r="AM8" s="138"/>
      <c r="AN8" s="139">
        <f>IF(AK8='The Results'!AK8,2,0)</f>
        <v>0</v>
      </c>
      <c r="AO8" s="139">
        <f>IF(AG8='The Results'!AG8,1,0)</f>
        <v>0</v>
      </c>
      <c r="AP8" s="139">
        <f>IF(AH8='The Results'!AH8,1,0)</f>
        <v>1</v>
      </c>
      <c r="AQ8" s="139">
        <f aca="true" t="shared" si="6" ref="AQ8:AQ22">IF(SUM(AN8:AP8)=4,1,0)</f>
        <v>0</v>
      </c>
      <c r="AR8" s="140" t="s">
        <v>52</v>
      </c>
      <c r="AS8" s="110">
        <f>COUNTIF($AF$7:$AI$54,AR8)</f>
        <v>3</v>
      </c>
      <c r="AT8" s="108">
        <f>COUNTIF(winners,AR8)</f>
        <v>0</v>
      </c>
      <c r="AU8" s="108">
        <f>AS8-(AT8+AV8)</f>
        <v>1</v>
      </c>
      <c r="AV8" s="108">
        <f>COUNTIF(losers,AR8)</f>
        <v>2</v>
      </c>
      <c r="AW8" s="108">
        <f>SUM(CosF)</f>
        <v>2</v>
      </c>
      <c r="AX8" s="108">
        <f>SUM(CosA)</f>
        <v>5</v>
      </c>
      <c r="AY8" s="108">
        <f>SUM(AW8-AX8)</f>
        <v>-3</v>
      </c>
      <c r="AZ8" s="108">
        <f>SUM((AT8*3)+AU8)</f>
        <v>1</v>
      </c>
      <c r="BA8" s="108">
        <v>2</v>
      </c>
      <c r="BB8" s="108">
        <f>CODE(MID(AR8,2,1))</f>
        <v>111</v>
      </c>
      <c r="BC8" s="108">
        <f>CODE(AR8)</f>
        <v>67</v>
      </c>
      <c r="BD8" s="110">
        <f>SUM((AZ8*100)+(AY8*10)+(AW8)-(BC8/1000)-(BB8/10000)-(BA8/100000))</f>
        <v>71.92188</v>
      </c>
      <c r="BE8" s="108" t="str">
        <f>AR8</f>
        <v>Costa Rica</v>
      </c>
      <c r="BF8" s="141">
        <f>LARGE(BD7:BD10,2)</f>
        <v>624.9088699999999</v>
      </c>
      <c r="BG8" s="110"/>
      <c r="BH8" s="110"/>
      <c r="BI8" s="110"/>
      <c r="BJ8" s="110"/>
      <c r="BK8" s="110"/>
      <c r="BL8" s="110"/>
      <c r="BM8" s="110"/>
      <c r="BN8" s="110"/>
      <c r="BO8" s="110"/>
      <c r="BP8" s="110"/>
      <c r="BQ8" s="110"/>
      <c r="BR8" s="110">
        <f>IF(SUM(BH7:BH10)=12,BG8,"")</f>
      </c>
      <c r="BS8" s="110"/>
      <c r="BT8" s="113"/>
      <c r="BU8" s="113"/>
    </row>
    <row r="9" spans="1:73" ht="15" customHeight="1" thickBot="1">
      <c r="A9" s="4"/>
      <c r="B9" s="80" t="s">
        <v>74</v>
      </c>
      <c r="C9" s="80">
        <v>38513</v>
      </c>
      <c r="D9" s="30"/>
      <c r="E9" s="31" t="s">
        <v>23</v>
      </c>
      <c r="F9" s="78">
        <v>1</v>
      </c>
      <c r="G9" s="78">
        <v>1</v>
      </c>
      <c r="H9" s="162" t="s">
        <v>55</v>
      </c>
      <c r="I9" s="116">
        <f>IF('The Results'!F9&lt;&gt;"",SUM(AN9:AQ9),"")</f>
      </c>
      <c r="J9" s="26"/>
      <c r="K9" s="27" t="str">
        <f>VLOOKUP(BF9,BD7:BE10,2,FALSE)</f>
        <v>Costa Rica</v>
      </c>
      <c r="L9" s="2">
        <f>VLOOKUP(K9,AR7:AZ10,2,FALSE)</f>
        <v>3</v>
      </c>
      <c r="M9" s="2">
        <f>VLOOKUP(K9,AR7:AZ10,3,FALSE)</f>
        <v>0</v>
      </c>
      <c r="N9" s="2">
        <f>VLOOKUP(K9,AR7:AZ10,4,FALSE)</f>
        <v>1</v>
      </c>
      <c r="O9" s="2">
        <f>VLOOKUP(K9,AR7:AZ10,5,FALSE)</f>
        <v>2</v>
      </c>
      <c r="P9" s="2">
        <f>VLOOKUP(K9,AR7:AZ10,6,FALSE)</f>
        <v>2</v>
      </c>
      <c r="Q9" s="2">
        <f>VLOOKUP(K9,AR7:AZ10,7,FALSE)</f>
        <v>5</v>
      </c>
      <c r="R9" s="2">
        <f>VLOOKUP(K9,AR7:AZ10,8,FALSE)</f>
        <v>-3</v>
      </c>
      <c r="S9" s="2">
        <f>VLOOKUP(K9,AR7:AZ10,9,FALSE)</f>
        <v>1</v>
      </c>
      <c r="T9" s="84">
        <f>IF('The Results'!L9&gt;0,IF(K9='The Results'!K9,3,0),"")</f>
      </c>
      <c r="U9" s="84"/>
      <c r="V9" s="131"/>
      <c r="W9" s="28"/>
      <c r="X9" s="111"/>
      <c r="Y9" s="113"/>
      <c r="Z9" s="113"/>
      <c r="AB9" s="112">
        <v>3</v>
      </c>
      <c r="AC9" s="138">
        <f>SUM($F$7:G9)</f>
        <v>6</v>
      </c>
      <c r="AD9" s="138">
        <f>IF(F9="","",ABS(AC9-'The Results'!AC9))</f>
        <v>6</v>
      </c>
      <c r="AE9" s="138"/>
      <c r="AF9" s="110" t="str">
        <f t="shared" si="0"/>
        <v>England</v>
      </c>
      <c r="AG9" s="138">
        <f t="shared" si="1"/>
        <v>1</v>
      </c>
      <c r="AH9" s="138">
        <f t="shared" si="2"/>
        <v>1</v>
      </c>
      <c r="AI9" s="138" t="str">
        <f t="shared" si="3"/>
        <v>Paraguay</v>
      </c>
      <c r="AJ9" s="138"/>
      <c r="AK9" s="138" t="str">
        <f t="shared" si="4"/>
        <v>draw</v>
      </c>
      <c r="AL9" s="110" t="str">
        <f t="shared" si="5"/>
        <v>draw</v>
      </c>
      <c r="AM9" s="138"/>
      <c r="AN9" s="139">
        <f>IF(AK9='The Results'!AK9,2,0)</f>
        <v>2</v>
      </c>
      <c r="AO9" s="139">
        <f>IF(AG9='The Results'!AG9,1,0)</f>
        <v>0</v>
      </c>
      <c r="AP9" s="139">
        <f>IF(AH9='The Results'!AH9,1,0)</f>
        <v>0</v>
      </c>
      <c r="AQ9" s="139">
        <f t="shared" si="6"/>
        <v>0</v>
      </c>
      <c r="AR9" s="140" t="s">
        <v>53</v>
      </c>
      <c r="AS9" s="110">
        <f>COUNTIF($AF$7:$AI$54,AR9)</f>
        <v>3</v>
      </c>
      <c r="AT9" s="108">
        <f>COUNTIF(winners,AR9)</f>
        <v>2</v>
      </c>
      <c r="AU9" s="108">
        <f>AS9-(AT9+AV9)</f>
        <v>0</v>
      </c>
      <c r="AV9" s="108">
        <f>COUNTIF(losers,AR9)</f>
        <v>1</v>
      </c>
      <c r="AW9" s="108">
        <f>SUM(PolF)</f>
        <v>5</v>
      </c>
      <c r="AX9" s="108">
        <f>SUM(PolA)</f>
        <v>3</v>
      </c>
      <c r="AY9" s="108">
        <f>SUM(AW9-AX9)</f>
        <v>2</v>
      </c>
      <c r="AZ9" s="108">
        <f>SUM((AT9*3)+AU9)</f>
        <v>6</v>
      </c>
      <c r="BA9" s="108">
        <v>3</v>
      </c>
      <c r="BB9" s="108">
        <f>CODE(MID(AR9,2,1))</f>
        <v>111</v>
      </c>
      <c r="BC9" s="108">
        <f>CODE(AR9)</f>
        <v>80</v>
      </c>
      <c r="BD9" s="110">
        <f>SUM((AZ9*100)+(AY9*10)+(AW9)-(BC9/1000)-(BB9/10000)-(BA9/100000))</f>
        <v>624.9088699999999</v>
      </c>
      <c r="BE9" s="108" t="str">
        <f>AR9</f>
        <v>Poland</v>
      </c>
      <c r="BF9" s="141">
        <f>LARGE(BD7:BD10,3)</f>
        <v>71.92188</v>
      </c>
      <c r="BG9" s="110"/>
      <c r="BH9" s="110"/>
      <c r="BI9" s="110"/>
      <c r="BJ9" s="110"/>
      <c r="BK9" s="110"/>
      <c r="BL9" s="110"/>
      <c r="BM9" s="110"/>
      <c r="BN9" s="110"/>
      <c r="BO9" s="110"/>
      <c r="BP9" s="110"/>
      <c r="BQ9" s="110"/>
      <c r="BR9" s="110"/>
      <c r="BS9" s="110"/>
      <c r="BT9" s="113"/>
      <c r="BU9" s="113"/>
    </row>
    <row r="10" spans="1:73" ht="15" customHeight="1" thickBot="1">
      <c r="A10" s="4"/>
      <c r="B10" s="80" t="s">
        <v>74</v>
      </c>
      <c r="C10" s="80">
        <v>38513</v>
      </c>
      <c r="D10" s="30"/>
      <c r="E10" s="31" t="s">
        <v>56</v>
      </c>
      <c r="F10" s="78">
        <v>1</v>
      </c>
      <c r="G10" s="78">
        <v>5</v>
      </c>
      <c r="H10" s="162" t="s">
        <v>26</v>
      </c>
      <c r="I10" s="116">
        <f>IF('The Results'!F10&lt;&gt;"",SUM(AN10:AQ10),"")</f>
      </c>
      <c r="J10" s="32"/>
      <c r="K10" s="27" t="str">
        <f>VLOOKUP(BF10,BD7:BE10,2,FALSE)</f>
        <v>Ecuador</v>
      </c>
      <c r="L10" s="2">
        <f>VLOOKUP(K10,AR7:AZ10,2,FALSE)</f>
        <v>3</v>
      </c>
      <c r="M10" s="2">
        <f>VLOOKUP(K10,AR7:AZ10,3,FALSE)</f>
        <v>0</v>
      </c>
      <c r="N10" s="2">
        <f>VLOOKUP(K10,AR7:AZ10,4,FALSE)</f>
        <v>1</v>
      </c>
      <c r="O10" s="2">
        <f>VLOOKUP(K10,AR7:AZ10,5,FALSE)</f>
        <v>2</v>
      </c>
      <c r="P10" s="2">
        <f>VLOOKUP(K10,AR7:AZ10,6,FALSE)</f>
        <v>1</v>
      </c>
      <c r="Q10" s="2">
        <f>VLOOKUP(K10,AR7:AZ10,7,FALSE)</f>
        <v>5</v>
      </c>
      <c r="R10" s="2">
        <f>VLOOKUP(K10,AR7:AZ10,8,FALSE)</f>
        <v>-4</v>
      </c>
      <c r="S10" s="2">
        <f>VLOOKUP(K10,AR7:AZ10,9,FALSE)</f>
        <v>1</v>
      </c>
      <c r="T10" s="84">
        <f>IF('The Results'!L10&gt;0,IF(K10='The Results'!K10,3,0),"")</f>
      </c>
      <c r="U10" s="84"/>
      <c r="W10" s="28"/>
      <c r="X10" s="111"/>
      <c r="Y10" s="113"/>
      <c r="Z10" s="113"/>
      <c r="AB10" s="112">
        <v>4</v>
      </c>
      <c r="AC10" s="138">
        <f>SUM($F$7:G10)</f>
        <v>12</v>
      </c>
      <c r="AD10" s="138">
        <f>IF(F10="","",ABS(AC10-'The Results'!AC10))</f>
        <v>12</v>
      </c>
      <c r="AE10" s="138"/>
      <c r="AF10" s="110" t="str">
        <f t="shared" si="0"/>
        <v>Trinidad &amp; Tobago</v>
      </c>
      <c r="AG10" s="138">
        <f t="shared" si="1"/>
        <v>1</v>
      </c>
      <c r="AH10" s="138">
        <f t="shared" si="2"/>
        <v>5</v>
      </c>
      <c r="AI10" s="138" t="str">
        <f t="shared" si="3"/>
        <v>Sweden</v>
      </c>
      <c r="AJ10" s="138"/>
      <c r="AK10" s="138" t="str">
        <f t="shared" si="4"/>
        <v>Sweden</v>
      </c>
      <c r="AL10" s="110" t="str">
        <f t="shared" si="5"/>
        <v>Trinidad &amp; Tobago</v>
      </c>
      <c r="AM10" s="138"/>
      <c r="AN10" s="139">
        <f>IF(AK10='The Results'!AK10,2,0)</f>
        <v>0</v>
      </c>
      <c r="AO10" s="139">
        <f>IF(AG10='The Results'!AG10,1,0)</f>
        <v>0</v>
      </c>
      <c r="AP10" s="139">
        <f>IF(AH10='The Results'!AH10,1,0)</f>
        <v>0</v>
      </c>
      <c r="AQ10" s="139">
        <f t="shared" si="6"/>
        <v>0</v>
      </c>
      <c r="AR10" s="140" t="s">
        <v>54</v>
      </c>
      <c r="AS10" s="110">
        <f>COUNTIF($AF$7:$AI$54,AR10)</f>
        <v>3</v>
      </c>
      <c r="AT10" s="108">
        <f>COUNTIF(winners,AR10)</f>
        <v>0</v>
      </c>
      <c r="AU10" s="108">
        <f>AS10-(AT10+AV10)</f>
        <v>1</v>
      </c>
      <c r="AV10" s="108">
        <f>COUNTIF(losers,AR10)</f>
        <v>2</v>
      </c>
      <c r="AW10" s="108">
        <f>SUM(EcuF)</f>
        <v>1</v>
      </c>
      <c r="AX10" s="108">
        <f>SUM(EcuA)</f>
        <v>5</v>
      </c>
      <c r="AY10" s="108">
        <f>SUM(AW10-AX10)</f>
        <v>-4</v>
      </c>
      <c r="AZ10" s="108">
        <f>SUM((AT10*3)+AU10)</f>
        <v>1</v>
      </c>
      <c r="BA10" s="108">
        <v>4</v>
      </c>
      <c r="BB10" s="108">
        <f>CODE(MID(AR10,2,1))</f>
        <v>99</v>
      </c>
      <c r="BC10" s="108">
        <f>CODE(AR10)</f>
        <v>69</v>
      </c>
      <c r="BD10" s="110">
        <f>SUM((AZ10*100)+(AY10*10)+(AW10)-(BC10/1000)-(BB10/10000)-(BA10/100000))</f>
        <v>60.92106</v>
      </c>
      <c r="BE10" s="108" t="str">
        <f>AR10</f>
        <v>Ecuador</v>
      </c>
      <c r="BF10" s="141">
        <f>LARGE(BD7:BD10,4)</f>
        <v>60.92106</v>
      </c>
      <c r="BG10" s="110"/>
      <c r="BH10" s="110"/>
      <c r="BI10" s="110"/>
      <c r="BJ10" s="110"/>
      <c r="BK10" s="110"/>
      <c r="BL10" s="110"/>
      <c r="BM10" s="110"/>
      <c r="BN10" s="110"/>
      <c r="BO10" s="110"/>
      <c r="BP10" s="110"/>
      <c r="BQ10" s="110"/>
      <c r="BR10" s="110"/>
      <c r="BS10" s="110"/>
      <c r="BT10" s="113"/>
      <c r="BU10" s="113"/>
    </row>
    <row r="11" spans="1:73" ht="15" customHeight="1" thickBot="1">
      <c r="A11" s="4"/>
      <c r="B11" s="80" t="s">
        <v>74</v>
      </c>
      <c r="C11" s="80">
        <v>38513</v>
      </c>
      <c r="D11" s="30"/>
      <c r="E11" s="31" t="s">
        <v>72</v>
      </c>
      <c r="F11" s="78">
        <v>3</v>
      </c>
      <c r="G11" s="78">
        <v>0</v>
      </c>
      <c r="H11" s="162" t="s">
        <v>57</v>
      </c>
      <c r="I11" s="116">
        <f>IF('The Results'!F11&lt;&gt;"",SUM(AN11:AQ11),"")</f>
      </c>
      <c r="J11" s="34"/>
      <c r="K11" s="27"/>
      <c r="L11" s="2"/>
      <c r="M11" s="2"/>
      <c r="N11" s="2"/>
      <c r="O11" s="2"/>
      <c r="P11" s="2"/>
      <c r="Q11" s="2"/>
      <c r="R11" s="2"/>
      <c r="S11" s="2"/>
      <c r="T11" s="85"/>
      <c r="U11" s="85"/>
      <c r="V11" s="132" t="s">
        <v>48</v>
      </c>
      <c r="W11" s="28"/>
      <c r="X11" s="111"/>
      <c r="Y11" s="113"/>
      <c r="Z11" s="113"/>
      <c r="AB11" s="112">
        <v>5</v>
      </c>
      <c r="AC11" s="138">
        <f>SUM($F$7:G11)</f>
        <v>15</v>
      </c>
      <c r="AD11" s="138">
        <f>IF(F11="","",ABS(AC11-'The Results'!AC11))</f>
        <v>15</v>
      </c>
      <c r="AE11" s="138"/>
      <c r="AF11" s="110" t="str">
        <f>IF(ISBLANK(F11),"",E11)</f>
        <v>Argentina</v>
      </c>
      <c r="AG11" s="138">
        <f t="shared" si="1"/>
        <v>3</v>
      </c>
      <c r="AH11" s="138">
        <f t="shared" si="2"/>
        <v>0</v>
      </c>
      <c r="AI11" s="138" t="str">
        <f t="shared" si="3"/>
        <v>Ivory Coast</v>
      </c>
      <c r="AJ11" s="138"/>
      <c r="AK11" s="138" t="str">
        <f t="shared" si="4"/>
        <v>Argentina</v>
      </c>
      <c r="AL11" s="110" t="str">
        <f t="shared" si="5"/>
        <v>Ivory Coast</v>
      </c>
      <c r="AM11" s="138"/>
      <c r="AN11" s="139">
        <f>IF(AK11='The Results'!AK11,2,0)</f>
        <v>0</v>
      </c>
      <c r="AO11" s="139">
        <f>IF(AG11='The Results'!AG11,1,0)</f>
        <v>0</v>
      </c>
      <c r="AP11" s="139">
        <f>IF(AH11='The Results'!AH11,1,0)</f>
        <v>1</v>
      </c>
      <c r="AQ11" s="139">
        <f t="shared" si="6"/>
        <v>0</v>
      </c>
      <c r="AR11" s="108"/>
      <c r="AS11" s="110"/>
      <c r="AT11" s="108"/>
      <c r="AU11" s="108"/>
      <c r="AV11" s="108"/>
      <c r="AW11" s="108"/>
      <c r="AX11" s="108"/>
      <c r="AY11" s="108"/>
      <c r="AZ11" s="108"/>
      <c r="BA11" s="108"/>
      <c r="BB11" s="108"/>
      <c r="BC11" s="108"/>
      <c r="BD11" s="110"/>
      <c r="BE11" s="108"/>
      <c r="BF11" s="141"/>
      <c r="BG11" s="110"/>
      <c r="BH11" s="110"/>
      <c r="BI11" s="110"/>
      <c r="BJ11" s="110"/>
      <c r="BK11" s="110"/>
      <c r="BL11" s="110"/>
      <c r="BM11" s="110"/>
      <c r="BN11" s="110"/>
      <c r="BO11" s="110"/>
      <c r="BP11" s="110"/>
      <c r="BQ11" s="110"/>
      <c r="BR11" s="110"/>
      <c r="BS11" s="110"/>
      <c r="BT11" s="113"/>
      <c r="BU11" s="113"/>
    </row>
    <row r="12" spans="1:73" ht="15" customHeight="1" thickBot="1">
      <c r="A12" s="4"/>
      <c r="B12" s="80" t="s">
        <v>75</v>
      </c>
      <c r="C12" s="80">
        <v>38514</v>
      </c>
      <c r="D12" s="30"/>
      <c r="E12" s="31" t="s">
        <v>58</v>
      </c>
      <c r="F12" s="78">
        <v>1</v>
      </c>
      <c r="G12" s="78">
        <v>2</v>
      </c>
      <c r="H12" s="162" t="s">
        <v>59</v>
      </c>
      <c r="I12" s="116">
        <f>IF('The Results'!F12&lt;&gt;"",SUM(AN12:AQ12),"")</f>
      </c>
      <c r="J12" s="35"/>
      <c r="K12" s="76" t="s">
        <v>25</v>
      </c>
      <c r="L12" s="87" t="s">
        <v>7</v>
      </c>
      <c r="M12" s="87" t="s">
        <v>8</v>
      </c>
      <c r="N12" s="87" t="s">
        <v>9</v>
      </c>
      <c r="O12" s="87" t="s">
        <v>10</v>
      </c>
      <c r="P12" s="87" t="s">
        <v>11</v>
      </c>
      <c r="Q12" s="87" t="s">
        <v>12</v>
      </c>
      <c r="R12" s="87" t="s">
        <v>13</v>
      </c>
      <c r="S12" s="87" t="s">
        <v>14</v>
      </c>
      <c r="T12" s="6"/>
      <c r="U12" s="6"/>
      <c r="V12" s="223"/>
      <c r="W12" s="33"/>
      <c r="X12" s="142"/>
      <c r="Y12" s="113"/>
      <c r="Z12" s="113"/>
      <c r="AB12" s="112">
        <v>6</v>
      </c>
      <c r="AC12" s="138">
        <f>SUM($F$7:G12)</f>
        <v>18</v>
      </c>
      <c r="AD12" s="138">
        <f>IF(F12="","",ABS(AC12-'The Results'!AC12))</f>
        <v>18</v>
      </c>
      <c r="AE12" s="138"/>
      <c r="AF12" s="110" t="str">
        <f t="shared" si="0"/>
        <v>Serbia &amp; Montenegro</v>
      </c>
      <c r="AG12" s="138">
        <f t="shared" si="1"/>
        <v>1</v>
      </c>
      <c r="AH12" s="138">
        <f t="shared" si="2"/>
        <v>2</v>
      </c>
      <c r="AI12" s="138" t="str">
        <f t="shared" si="3"/>
        <v>Holland</v>
      </c>
      <c r="AJ12" s="138"/>
      <c r="AK12" s="138" t="str">
        <f t="shared" si="4"/>
        <v>Holland</v>
      </c>
      <c r="AL12" s="110" t="str">
        <f t="shared" si="5"/>
        <v>Serbia &amp; Montenegro</v>
      </c>
      <c r="AM12" s="138"/>
      <c r="AN12" s="139">
        <f>IF(AK12='The Results'!AK12,2,0)</f>
        <v>0</v>
      </c>
      <c r="AO12" s="139">
        <f>IF(AG12='The Results'!AG12,1,0)</f>
        <v>0</v>
      </c>
      <c r="AP12" s="139">
        <f>IF(AH12='The Results'!AH12,1,0)</f>
        <v>0</v>
      </c>
      <c r="AQ12" s="139">
        <f t="shared" si="6"/>
        <v>0</v>
      </c>
      <c r="AR12" s="143" t="s">
        <v>25</v>
      </c>
      <c r="AS12" s="108" t="s">
        <v>7</v>
      </c>
      <c r="AT12" s="108" t="s">
        <v>8</v>
      </c>
      <c r="AU12" s="108" t="s">
        <v>9</v>
      </c>
      <c r="AV12" s="108" t="s">
        <v>10</v>
      </c>
      <c r="AW12" s="108" t="s">
        <v>11</v>
      </c>
      <c r="AX12" s="108" t="s">
        <v>12</v>
      </c>
      <c r="AY12" s="108" t="s">
        <v>17</v>
      </c>
      <c r="AZ12" s="108" t="s">
        <v>14</v>
      </c>
      <c r="BA12" s="108"/>
      <c r="BB12" s="108"/>
      <c r="BC12" s="108"/>
      <c r="BD12" s="110"/>
      <c r="BE12" s="108" t="str">
        <f>AR12</f>
        <v>Group B</v>
      </c>
      <c r="BF12" s="141"/>
      <c r="BG12" s="110"/>
      <c r="BH12" s="110"/>
      <c r="BI12" s="110"/>
      <c r="BJ12" s="110"/>
      <c r="BK12" s="110"/>
      <c r="BL12" s="110"/>
      <c r="BM12" s="110"/>
      <c r="BN12" s="110"/>
      <c r="BO12" s="110"/>
      <c r="BP12" s="110"/>
      <c r="BQ12" s="110"/>
      <c r="BR12" s="110"/>
      <c r="BS12" s="110"/>
      <c r="BT12" s="113"/>
      <c r="BU12" s="113"/>
    </row>
    <row r="13" spans="1:73" ht="15" customHeight="1" thickBot="1">
      <c r="A13" s="4"/>
      <c r="B13" s="80" t="s">
        <v>75</v>
      </c>
      <c r="C13" s="80">
        <v>38514</v>
      </c>
      <c r="D13" s="30"/>
      <c r="E13" s="31" t="s">
        <v>60</v>
      </c>
      <c r="F13" s="78">
        <v>2</v>
      </c>
      <c r="G13" s="78">
        <v>1</v>
      </c>
      <c r="H13" s="162" t="s">
        <v>61</v>
      </c>
      <c r="I13" s="116">
        <f>IF('The Results'!F13&lt;&gt;"",SUM(AN13:AQ13),"")</f>
      </c>
      <c r="J13" s="34"/>
      <c r="K13" s="27" t="str">
        <f>VLOOKUP(BF13,BD13:BE16,2,FALSE)</f>
        <v>Sweden</v>
      </c>
      <c r="L13" s="2">
        <f>VLOOKUP(K13,AR13:AZ16,2,FALSE)</f>
        <v>3</v>
      </c>
      <c r="M13" s="2">
        <f>VLOOKUP(K13,AR13:AZ16,3,FALSE)</f>
        <v>2</v>
      </c>
      <c r="N13" s="2">
        <f>VLOOKUP(K13,AR13:AZ16,4,FALSE)</f>
        <v>1</v>
      </c>
      <c r="O13" s="2">
        <f>VLOOKUP(K13,AR13:AZ16,5,FALSE)</f>
        <v>0</v>
      </c>
      <c r="P13" s="2">
        <f>VLOOKUP(K13,AR13:AZ16,6,FALSE)</f>
        <v>8</v>
      </c>
      <c r="Q13" s="2">
        <f>VLOOKUP(K13,AR13:AZ16,7,FALSE)</f>
        <v>3</v>
      </c>
      <c r="R13" s="2">
        <f>VLOOKUP(K13,AR13:AZ16,8,FALSE)</f>
        <v>5</v>
      </c>
      <c r="S13" s="2">
        <f>VLOOKUP(K13,AR13:AZ16,9,FALSE)</f>
        <v>7</v>
      </c>
      <c r="T13" s="84">
        <f>IF('The Results'!L13&gt;0,IF(K13='The Results'!K13,3,0),"")</f>
      </c>
      <c r="U13" s="84"/>
      <c r="V13" s="122"/>
      <c r="W13" s="28"/>
      <c r="X13" s="111"/>
      <c r="Y13" s="113"/>
      <c r="Z13" s="113"/>
      <c r="AB13" s="112">
        <v>7</v>
      </c>
      <c r="AC13" s="138">
        <f>SUM($F$7:G13)</f>
        <v>21</v>
      </c>
      <c r="AD13" s="138">
        <f>IF(F13="","",ABS(AC13-'The Results'!AC13))</f>
        <v>21</v>
      </c>
      <c r="AE13" s="138"/>
      <c r="AF13" s="110" t="str">
        <f t="shared" si="0"/>
        <v>Mexico</v>
      </c>
      <c r="AG13" s="138">
        <f t="shared" si="1"/>
        <v>2</v>
      </c>
      <c r="AH13" s="138">
        <f t="shared" si="2"/>
        <v>1</v>
      </c>
      <c r="AI13" s="138" t="str">
        <f t="shared" si="3"/>
        <v>Iran</v>
      </c>
      <c r="AJ13" s="138"/>
      <c r="AK13" s="138" t="str">
        <f t="shared" si="4"/>
        <v>Mexico</v>
      </c>
      <c r="AL13" s="110" t="str">
        <f t="shared" si="5"/>
        <v>Iran</v>
      </c>
      <c r="AM13" s="138"/>
      <c r="AN13" s="139">
        <f>IF(AK13='The Results'!AK13,2,0)</f>
        <v>0</v>
      </c>
      <c r="AO13" s="139">
        <f>IF(AG13='The Results'!AG13,1,0)</f>
        <v>0</v>
      </c>
      <c r="AP13" s="139">
        <f>IF(AH13='The Results'!AH13,1,0)</f>
        <v>0</v>
      </c>
      <c r="AQ13" s="139">
        <f t="shared" si="6"/>
        <v>0</v>
      </c>
      <c r="AR13" s="140" t="s">
        <v>23</v>
      </c>
      <c r="AS13" s="110">
        <f>COUNTIF($AF$7:$AI$54,AR13)</f>
        <v>3</v>
      </c>
      <c r="AT13" s="108">
        <f>COUNTIF(winners,AR13)</f>
        <v>1</v>
      </c>
      <c r="AU13" s="108">
        <f>AS13-(AT13+AV13)</f>
        <v>2</v>
      </c>
      <c r="AV13" s="108">
        <f>COUNTIF(losers,AR13)</f>
        <v>0</v>
      </c>
      <c r="AW13" s="108">
        <f>SUM(EnglandF)</f>
        <v>7</v>
      </c>
      <c r="AX13" s="108">
        <f>SUM(EnglandA)</f>
        <v>2</v>
      </c>
      <c r="AY13" s="108">
        <f>SUM(AW13-AX13)</f>
        <v>5</v>
      </c>
      <c r="AZ13" s="108">
        <f>SUM((AT13*3)+AU13)</f>
        <v>5</v>
      </c>
      <c r="BA13" s="108">
        <v>5</v>
      </c>
      <c r="BB13" s="108">
        <f>CODE(MID(AR13,2,1))</f>
        <v>110</v>
      </c>
      <c r="BC13" s="108">
        <f>CODE(AR13)</f>
        <v>69</v>
      </c>
      <c r="BD13" s="110">
        <f>SUM((AZ13*100)+(AY13*10)+(AW13)-(BC13/1000)-(BB13/10000)-(BA13/100000))</f>
        <v>556.9199500000001</v>
      </c>
      <c r="BE13" s="108" t="str">
        <f>AR13</f>
        <v>England</v>
      </c>
      <c r="BF13" s="141">
        <f>LARGE(BD13:BD16,1)</f>
        <v>757.90502</v>
      </c>
      <c r="BG13" s="110"/>
      <c r="BH13" s="110"/>
      <c r="BI13" s="110"/>
      <c r="BJ13" s="110"/>
      <c r="BK13" s="110"/>
      <c r="BL13" s="110"/>
      <c r="BM13" s="110"/>
      <c r="BN13" s="110"/>
      <c r="BO13" s="110"/>
      <c r="BP13" s="110"/>
      <c r="BQ13" s="110"/>
      <c r="BR13" s="110">
        <f>IF(SUM(BH13:BH16)=12,BG13,"")</f>
      </c>
      <c r="BS13" s="110"/>
      <c r="BT13" s="113"/>
      <c r="BU13" s="113"/>
    </row>
    <row r="14" spans="1:73" ht="15" customHeight="1" thickBot="1">
      <c r="A14" s="4"/>
      <c r="B14" s="80" t="s">
        <v>75</v>
      </c>
      <c r="C14" s="80">
        <v>38514</v>
      </c>
      <c r="D14" s="30"/>
      <c r="E14" s="31" t="s">
        <v>62</v>
      </c>
      <c r="F14" s="78">
        <v>1</v>
      </c>
      <c r="G14" s="78">
        <v>4</v>
      </c>
      <c r="H14" s="162" t="s">
        <v>18</v>
      </c>
      <c r="I14" s="116">
        <f>IF('The Results'!F14&lt;&gt;"",SUM(AN14:AQ14),"")</f>
      </c>
      <c r="J14" s="35"/>
      <c r="K14" s="27" t="str">
        <f>VLOOKUP(BF14,BD13:BE16,2,FALSE)</f>
        <v>England</v>
      </c>
      <c r="L14" s="2">
        <f>VLOOKUP(K14,AR13:AZ16,2,FALSE)</f>
        <v>3</v>
      </c>
      <c r="M14" s="2">
        <f>VLOOKUP(K14,AR13:AZ16,3,FALSE)</f>
        <v>1</v>
      </c>
      <c r="N14" s="2">
        <f>VLOOKUP(K14,AR13:AZ16,4,FALSE)</f>
        <v>2</v>
      </c>
      <c r="O14" s="2">
        <f>VLOOKUP(K14,AR13:AZ16,5,FALSE)</f>
        <v>0</v>
      </c>
      <c r="P14" s="2">
        <f>VLOOKUP(K14,AR13:AZ16,6,FALSE)</f>
        <v>7</v>
      </c>
      <c r="Q14" s="2">
        <f>VLOOKUP(K14,AR13:AZ16,7,FALSE)</f>
        <v>2</v>
      </c>
      <c r="R14" s="2">
        <f>VLOOKUP(K14,AR13:AZ16,8,FALSE)</f>
        <v>5</v>
      </c>
      <c r="S14" s="2">
        <f>VLOOKUP(K14,AR13:AZ16,9,FALSE)</f>
        <v>5</v>
      </c>
      <c r="T14" s="84">
        <f>IF('The Results'!L14&gt;0,IF(K14='The Results'!K14,3,0),"")</f>
      </c>
      <c r="U14" s="84"/>
      <c r="V14" s="130"/>
      <c r="W14" s="28"/>
      <c r="X14" s="111"/>
      <c r="Y14" s="113"/>
      <c r="Z14" s="113"/>
      <c r="AB14" s="112">
        <v>8</v>
      </c>
      <c r="AC14" s="138">
        <f>SUM($F$7:G14)</f>
        <v>26</v>
      </c>
      <c r="AD14" s="138">
        <f>IF(F14="","",ABS(AC14-'The Results'!AC14))</f>
        <v>26</v>
      </c>
      <c r="AE14" s="138"/>
      <c r="AF14" s="110" t="str">
        <f t="shared" si="0"/>
        <v>Angola</v>
      </c>
      <c r="AG14" s="138">
        <f t="shared" si="1"/>
        <v>1</v>
      </c>
      <c r="AH14" s="138">
        <f t="shared" si="2"/>
        <v>4</v>
      </c>
      <c r="AI14" s="138" t="str">
        <f t="shared" si="3"/>
        <v>Portugal</v>
      </c>
      <c r="AJ14" s="138"/>
      <c r="AK14" s="138" t="str">
        <f t="shared" si="4"/>
        <v>Portugal</v>
      </c>
      <c r="AL14" s="110" t="str">
        <f t="shared" si="5"/>
        <v>Angola</v>
      </c>
      <c r="AM14" s="138"/>
      <c r="AN14" s="139">
        <f>IF(AK14='The Results'!AK14,2,0)</f>
        <v>0</v>
      </c>
      <c r="AO14" s="139">
        <f>IF(AG14='The Results'!AG14,1,0)</f>
        <v>0</v>
      </c>
      <c r="AP14" s="139">
        <f>IF(AH14='The Results'!AH14,1,0)</f>
        <v>0</v>
      </c>
      <c r="AQ14" s="139">
        <f t="shared" si="6"/>
        <v>0</v>
      </c>
      <c r="AR14" s="140" t="s">
        <v>55</v>
      </c>
      <c r="AS14" s="110">
        <f>COUNTIF($AF$7:$AI$54,AR14)</f>
        <v>3</v>
      </c>
      <c r="AT14" s="108">
        <f>COUNTIF(winners,AR14)</f>
        <v>1</v>
      </c>
      <c r="AU14" s="108">
        <f>AS14-(AT14+AV14)</f>
        <v>1</v>
      </c>
      <c r="AV14" s="108">
        <f>COUNTIF(losers,AR14)</f>
        <v>1</v>
      </c>
      <c r="AW14" s="108">
        <f>SUM(ParF)</f>
        <v>5</v>
      </c>
      <c r="AX14" s="108">
        <f>SUM(ParA)</f>
        <v>4</v>
      </c>
      <c r="AY14" s="108">
        <f>SUM(AW14-AX14)</f>
        <v>1</v>
      </c>
      <c r="AZ14" s="108">
        <f>SUM((AT14*3)+AU14)</f>
        <v>4</v>
      </c>
      <c r="BA14" s="108">
        <v>6</v>
      </c>
      <c r="BB14" s="108">
        <f>CODE(MID(AR14,2,1))</f>
        <v>97</v>
      </c>
      <c r="BC14" s="108">
        <f>CODE(AR14)</f>
        <v>80</v>
      </c>
      <c r="BD14" s="110">
        <f>SUM((AZ14*100)+(AY14*10)+(AW14)-(BC14/1000)-(BB14/10000)-(BA14/100000))</f>
        <v>414.91024</v>
      </c>
      <c r="BE14" s="108" t="str">
        <f>AR14</f>
        <v>Paraguay</v>
      </c>
      <c r="BF14" s="141">
        <f>LARGE(BD13:BD16,2)</f>
        <v>556.9199500000001</v>
      </c>
      <c r="BG14" s="110"/>
      <c r="BH14" s="110"/>
      <c r="BI14" s="110"/>
      <c r="BJ14" s="110"/>
      <c r="BK14" s="110"/>
      <c r="BL14" s="110"/>
      <c r="BM14" s="110"/>
      <c r="BN14" s="110"/>
      <c r="BO14" s="110"/>
      <c r="BP14" s="110"/>
      <c r="BQ14" s="110"/>
      <c r="BR14" s="110">
        <f>IF(SUM(BH13:BH16)=12,BG14,"")</f>
      </c>
      <c r="BS14" s="110"/>
      <c r="BT14" s="113"/>
      <c r="BU14" s="113"/>
    </row>
    <row r="15" spans="1:73" ht="15" customHeight="1" thickBot="1">
      <c r="A15" s="4"/>
      <c r="B15" s="80" t="s">
        <v>76</v>
      </c>
      <c r="C15" s="80">
        <v>38515</v>
      </c>
      <c r="D15" s="30"/>
      <c r="E15" s="31" t="s">
        <v>24</v>
      </c>
      <c r="F15" s="78">
        <v>1</v>
      </c>
      <c r="G15" s="78">
        <v>0</v>
      </c>
      <c r="H15" s="162" t="s">
        <v>63</v>
      </c>
      <c r="I15" s="116">
        <f>IF('The Results'!F15&lt;&gt;"",SUM(AN15:AQ15),"")</f>
      </c>
      <c r="J15" s="36"/>
      <c r="K15" s="27" t="str">
        <f>VLOOKUP(BF15,BD13:BE16,2,FALSE)</f>
        <v>Paraguay</v>
      </c>
      <c r="L15" s="2">
        <f>VLOOKUP(K15,AR13:AZ16,2,FALSE)</f>
        <v>3</v>
      </c>
      <c r="M15" s="2">
        <f>VLOOKUP(K15,AR13:AZ16,3,FALSE)</f>
        <v>1</v>
      </c>
      <c r="N15" s="2">
        <f>VLOOKUP(K15,AR13:AZ16,4,FALSE)</f>
        <v>1</v>
      </c>
      <c r="O15" s="2">
        <f>VLOOKUP(K15,AR13:AZ16,5,FALSE)</f>
        <v>1</v>
      </c>
      <c r="P15" s="2">
        <f>VLOOKUP(K15,AR13:AZ16,6,FALSE)</f>
        <v>5</v>
      </c>
      <c r="Q15" s="2">
        <f>VLOOKUP(K15,AR13:AZ16,7,FALSE)</f>
        <v>4</v>
      </c>
      <c r="R15" s="2">
        <f>VLOOKUP(K15,AR13:AZ16,8,FALSE)</f>
        <v>1</v>
      </c>
      <c r="S15" s="2">
        <f>VLOOKUP(K15,AR13:AZ16,9,FALSE)</f>
        <v>4</v>
      </c>
      <c r="T15" s="84">
        <f>IF('The Results'!L15&gt;0,IF(K15='The Results'!K15,3,0),"")</f>
      </c>
      <c r="U15" s="84"/>
      <c r="W15" s="28"/>
      <c r="X15" s="111"/>
      <c r="Y15" s="113"/>
      <c r="Z15" s="113"/>
      <c r="AB15" s="112">
        <v>9</v>
      </c>
      <c r="AC15" s="138">
        <f>SUM($F$7:G15)</f>
        <v>27</v>
      </c>
      <c r="AD15" s="138">
        <f>IF(F15="","",ABS(AC15-'The Results'!AC15))</f>
        <v>27</v>
      </c>
      <c r="AE15" s="138"/>
      <c r="AF15" s="110" t="str">
        <f t="shared" si="0"/>
        <v>Italy</v>
      </c>
      <c r="AG15" s="138">
        <f t="shared" si="1"/>
        <v>1</v>
      </c>
      <c r="AH15" s="138">
        <f t="shared" si="2"/>
        <v>0</v>
      </c>
      <c r="AI15" s="138" t="str">
        <f t="shared" si="3"/>
        <v>Ghana</v>
      </c>
      <c r="AJ15" s="138"/>
      <c r="AK15" s="138" t="str">
        <f t="shared" si="4"/>
        <v>Italy</v>
      </c>
      <c r="AL15" s="110" t="str">
        <f t="shared" si="5"/>
        <v>Ghana</v>
      </c>
      <c r="AM15" s="138"/>
      <c r="AN15" s="139">
        <f>IF(AK15='The Results'!AK15,2,0)</f>
        <v>0</v>
      </c>
      <c r="AO15" s="139">
        <f>IF(AG15='The Results'!AG15,1,0)</f>
        <v>0</v>
      </c>
      <c r="AP15" s="139">
        <f>IF(AH15='The Results'!AH15,1,0)</f>
        <v>1</v>
      </c>
      <c r="AQ15" s="139">
        <f t="shared" si="6"/>
        <v>0</v>
      </c>
      <c r="AR15" s="140" t="s">
        <v>56</v>
      </c>
      <c r="AS15" s="110">
        <f>COUNTIF($AF$7:$AI$54,AR15)</f>
        <v>3</v>
      </c>
      <c r="AT15" s="108">
        <f>COUNTIF(winners,AR15)</f>
        <v>0</v>
      </c>
      <c r="AU15" s="108">
        <f>AS15-(AT15+AV15)</f>
        <v>0</v>
      </c>
      <c r="AV15" s="108">
        <f>COUNTIF(losers,AR15)</f>
        <v>3</v>
      </c>
      <c r="AW15" s="108">
        <f>SUM(TriF)</f>
        <v>2</v>
      </c>
      <c r="AX15" s="108">
        <f>SUM(TriA)</f>
        <v>13</v>
      </c>
      <c r="AY15" s="108">
        <f>SUM(AW15-AX15)</f>
        <v>-11</v>
      </c>
      <c r="AZ15" s="108">
        <f>SUM((AT15*3)+AU15)</f>
        <v>0</v>
      </c>
      <c r="BA15" s="108">
        <v>7</v>
      </c>
      <c r="BB15" s="108">
        <f>CODE(MID(AR15,2,1))</f>
        <v>114</v>
      </c>
      <c r="BC15" s="108">
        <f>CODE(AR15)</f>
        <v>84</v>
      </c>
      <c r="BD15" s="110">
        <f>SUM((AZ15*100)+(AY15*10)+(AW15)-(BC15/1000)-(BB15/10000)-(BA15/100000))</f>
        <v>-108.09546999999999</v>
      </c>
      <c r="BE15" s="108" t="str">
        <f>AR15</f>
        <v>Trinidad &amp; Tobago</v>
      </c>
      <c r="BF15" s="141">
        <f>LARGE(BD13:BD16,3)</f>
        <v>414.91024</v>
      </c>
      <c r="BG15" s="110"/>
      <c r="BH15" s="110"/>
      <c r="BI15" s="110"/>
      <c r="BJ15" s="110"/>
      <c r="BK15" s="110"/>
      <c r="BL15" s="110"/>
      <c r="BM15" s="110"/>
      <c r="BN15" s="110"/>
      <c r="BO15" s="110"/>
      <c r="BP15" s="110"/>
      <c r="BQ15" s="110"/>
      <c r="BR15" s="110"/>
      <c r="BS15" s="110"/>
      <c r="BT15" s="113"/>
      <c r="BU15" s="113"/>
    </row>
    <row r="16" spans="1:73" ht="15" customHeight="1" thickBot="1">
      <c r="A16" s="4"/>
      <c r="B16" s="80" t="s">
        <v>76</v>
      </c>
      <c r="C16" s="80">
        <v>38515</v>
      </c>
      <c r="D16" s="30"/>
      <c r="E16" s="31" t="s">
        <v>64</v>
      </c>
      <c r="F16" s="78">
        <v>2</v>
      </c>
      <c r="G16" s="78">
        <v>2</v>
      </c>
      <c r="H16" s="162" t="s">
        <v>27</v>
      </c>
      <c r="I16" s="116">
        <f>IF('The Results'!F16&lt;&gt;"",SUM(AN16:AQ16),"")</f>
      </c>
      <c r="J16" s="37"/>
      <c r="K16" s="27" t="str">
        <f>VLOOKUP(BF16,BD13:BE16,2,FALSE)</f>
        <v>Trinidad &amp; Tobago</v>
      </c>
      <c r="L16" s="2">
        <f>VLOOKUP(K16,AR13:AZ16,2,FALSE)</f>
        <v>3</v>
      </c>
      <c r="M16" s="2">
        <f>VLOOKUP(K16,AR13:AZ16,3,FALSE)</f>
        <v>0</v>
      </c>
      <c r="N16" s="2">
        <f>VLOOKUP(K16,AR13:AZ16,4,FALSE)</f>
        <v>0</v>
      </c>
      <c r="O16" s="2">
        <f>VLOOKUP(K16,AR13:AZ16,5,FALSE)</f>
        <v>3</v>
      </c>
      <c r="P16" s="2">
        <f>VLOOKUP(K16,AR13:AZ16,6,FALSE)</f>
        <v>2</v>
      </c>
      <c r="Q16" s="2">
        <f>VLOOKUP(K16,AR13:AZ16,7,FALSE)</f>
        <v>13</v>
      </c>
      <c r="R16" s="2">
        <f>VLOOKUP(K16,AR13:AZ16,8,FALSE)</f>
        <v>-11</v>
      </c>
      <c r="S16" s="2">
        <f>VLOOKUP(K16,AR13:AZ16,9,FALSE)</f>
        <v>0</v>
      </c>
      <c r="T16" s="84">
        <f>IF('The Results'!L16&gt;0,IF(K16='The Results'!K16,3,0),"")</f>
      </c>
      <c r="U16" s="84"/>
      <c r="V16" s="224"/>
      <c r="W16" s="28"/>
      <c r="X16" s="111"/>
      <c r="Y16" s="113"/>
      <c r="Z16" s="113"/>
      <c r="AB16" s="112">
        <v>10</v>
      </c>
      <c r="AC16" s="138">
        <f>SUM($F$7:G16)</f>
        <v>31</v>
      </c>
      <c r="AD16" s="138">
        <f>IF(F16="","",ABS(AC16-'The Results'!AC16))</f>
        <v>31</v>
      </c>
      <c r="AE16" s="138"/>
      <c r="AF16" s="110" t="str">
        <f t="shared" si="0"/>
        <v>USA</v>
      </c>
      <c r="AG16" s="138">
        <f t="shared" si="1"/>
        <v>2</v>
      </c>
      <c r="AH16" s="138">
        <f t="shared" si="2"/>
        <v>2</v>
      </c>
      <c r="AI16" s="138" t="str">
        <f t="shared" si="3"/>
        <v>Czech Republic</v>
      </c>
      <c r="AJ16" s="138"/>
      <c r="AK16" s="138" t="str">
        <f t="shared" si="4"/>
        <v>draw</v>
      </c>
      <c r="AL16" s="110" t="str">
        <f t="shared" si="5"/>
        <v>draw</v>
      </c>
      <c r="AM16" s="138"/>
      <c r="AN16" s="139">
        <f>IF(AK16='The Results'!AK16,2,0)</f>
        <v>2</v>
      </c>
      <c r="AO16" s="139">
        <f>IF(AG16='The Results'!AG16,1,0)</f>
        <v>0</v>
      </c>
      <c r="AP16" s="139">
        <f>IF(AH16='The Results'!AH16,1,0)</f>
        <v>0</v>
      </c>
      <c r="AQ16" s="139">
        <f t="shared" si="6"/>
        <v>0</v>
      </c>
      <c r="AR16" s="140" t="s">
        <v>26</v>
      </c>
      <c r="AS16" s="110">
        <f>COUNTIF($AF$7:$AI$54,AR16)</f>
        <v>3</v>
      </c>
      <c r="AT16" s="108">
        <f>COUNTIF(winners,AR16)</f>
        <v>2</v>
      </c>
      <c r="AU16" s="108">
        <f>AS16-(AT16+AV16)</f>
        <v>1</v>
      </c>
      <c r="AV16" s="108">
        <f>COUNTIF(losers,AR16)</f>
        <v>0</v>
      </c>
      <c r="AW16" s="108">
        <f>SUM(SweF)</f>
        <v>8</v>
      </c>
      <c r="AX16" s="108">
        <f>SUM(SweA)</f>
        <v>3</v>
      </c>
      <c r="AY16" s="108">
        <f>SUM(AW16-AX16)</f>
        <v>5</v>
      </c>
      <c r="AZ16" s="108">
        <f>SUM((AT16*3)+AU16)</f>
        <v>7</v>
      </c>
      <c r="BA16" s="108">
        <v>8</v>
      </c>
      <c r="BB16" s="108">
        <f>CODE(MID(AR16,2,1))</f>
        <v>119</v>
      </c>
      <c r="BC16" s="108">
        <f>CODE(AR16)</f>
        <v>83</v>
      </c>
      <c r="BD16" s="110">
        <f>SUM((AZ16*100)+(AY16*10)+(AW16)-(BC16/1000)-(BB16/10000)-(BA16/100000))</f>
        <v>757.90502</v>
      </c>
      <c r="BE16" s="108" t="str">
        <f>AR16</f>
        <v>Sweden</v>
      </c>
      <c r="BF16" s="141">
        <f>LARGE(BD13:BD16,4)</f>
        <v>-108.09546999999999</v>
      </c>
      <c r="BG16" s="110"/>
      <c r="BH16" s="110"/>
      <c r="BI16" s="110"/>
      <c r="BJ16" s="110"/>
      <c r="BK16" s="110"/>
      <c r="BL16" s="110"/>
      <c r="BM16" s="110"/>
      <c r="BN16" s="110"/>
      <c r="BO16" s="110"/>
      <c r="BP16" s="110"/>
      <c r="BQ16" s="110"/>
      <c r="BR16" s="110"/>
      <c r="BS16" s="110"/>
      <c r="BT16" s="113"/>
      <c r="BU16" s="113"/>
    </row>
    <row r="17" spans="1:73" ht="15" customHeight="1" thickBot="1">
      <c r="A17" s="4"/>
      <c r="B17" s="80" t="s">
        <v>76</v>
      </c>
      <c r="C17" s="80">
        <v>38515</v>
      </c>
      <c r="D17" s="30"/>
      <c r="E17" s="39" t="s">
        <v>65</v>
      </c>
      <c r="F17" s="78">
        <v>1</v>
      </c>
      <c r="G17" s="78">
        <v>1</v>
      </c>
      <c r="H17" s="162" t="s">
        <v>66</v>
      </c>
      <c r="I17" s="116">
        <f>IF('The Results'!F17&lt;&gt;"",SUM(AN17:AQ17),"")</f>
      </c>
      <c r="J17" s="36"/>
      <c r="K17" s="27"/>
      <c r="L17" s="2"/>
      <c r="M17" s="2"/>
      <c r="N17" s="2"/>
      <c r="O17" s="2"/>
      <c r="P17" s="2"/>
      <c r="Q17" s="2"/>
      <c r="R17" s="2"/>
      <c r="S17" s="2"/>
      <c r="T17" s="85"/>
      <c r="U17" s="85"/>
      <c r="V17" s="229" t="s">
        <v>99</v>
      </c>
      <c r="W17" s="11"/>
      <c r="X17" s="111"/>
      <c r="Y17" s="113"/>
      <c r="Z17" s="113"/>
      <c r="AB17" s="112">
        <v>11</v>
      </c>
      <c r="AC17" s="138">
        <f>SUM($F$7:G17)</f>
        <v>33</v>
      </c>
      <c r="AD17" s="138">
        <f>IF(F17="","",ABS(AC17-'The Results'!AC17))</f>
        <v>33</v>
      </c>
      <c r="AE17" s="138"/>
      <c r="AF17" s="110" t="str">
        <f t="shared" si="0"/>
        <v>Australia</v>
      </c>
      <c r="AG17" s="138">
        <f t="shared" si="1"/>
        <v>1</v>
      </c>
      <c r="AH17" s="138">
        <f t="shared" si="2"/>
        <v>1</v>
      </c>
      <c r="AI17" s="138" t="str">
        <f t="shared" si="3"/>
        <v>Japan</v>
      </c>
      <c r="AJ17" s="138"/>
      <c r="AK17" s="138" t="str">
        <f t="shared" si="4"/>
        <v>draw</v>
      </c>
      <c r="AL17" s="110" t="str">
        <f t="shared" si="5"/>
        <v>draw</v>
      </c>
      <c r="AM17" s="138"/>
      <c r="AN17" s="139">
        <f>IF(AK17='The Results'!AK17,2,0)</f>
        <v>2</v>
      </c>
      <c r="AO17" s="139">
        <f>IF(AG17='The Results'!AG17,1,0)</f>
        <v>0</v>
      </c>
      <c r="AP17" s="139">
        <f>IF(AH17='The Results'!AH17,1,0)</f>
        <v>0</v>
      </c>
      <c r="AQ17" s="139">
        <f t="shared" si="6"/>
        <v>0</v>
      </c>
      <c r="AR17" s="108"/>
      <c r="AS17" s="110"/>
      <c r="AT17" s="108"/>
      <c r="AU17" s="108"/>
      <c r="AV17" s="108"/>
      <c r="AW17" s="108"/>
      <c r="AX17" s="108"/>
      <c r="AY17" s="108"/>
      <c r="AZ17" s="108"/>
      <c r="BA17" s="108"/>
      <c r="BB17" s="108"/>
      <c r="BC17" s="108"/>
      <c r="BD17" s="110"/>
      <c r="BE17" s="108"/>
      <c r="BF17" s="141"/>
      <c r="BG17" s="110"/>
      <c r="BH17" s="110"/>
      <c r="BI17" s="110"/>
      <c r="BJ17" s="110"/>
      <c r="BK17" s="110"/>
      <c r="BL17" s="110"/>
      <c r="BM17" s="110"/>
      <c r="BN17" s="110"/>
      <c r="BO17" s="110"/>
      <c r="BP17" s="110"/>
      <c r="BQ17" s="110"/>
      <c r="BR17" s="110"/>
      <c r="BS17" s="110"/>
      <c r="BT17" s="113"/>
      <c r="BU17" s="113"/>
    </row>
    <row r="18" spans="1:73" ht="15" customHeight="1" thickBot="1">
      <c r="A18" s="4"/>
      <c r="B18" s="80" t="s">
        <v>77</v>
      </c>
      <c r="C18" s="80">
        <v>38516</v>
      </c>
      <c r="D18" s="30"/>
      <c r="E18" s="31" t="s">
        <v>83</v>
      </c>
      <c r="F18" s="78">
        <v>2</v>
      </c>
      <c r="G18" s="78">
        <v>2</v>
      </c>
      <c r="H18" s="162" t="s">
        <v>21</v>
      </c>
      <c r="I18" s="116">
        <f>IF('The Results'!F18&lt;&gt;"",SUM(AN18:AQ18),"")</f>
      </c>
      <c r="J18" s="37"/>
      <c r="K18" s="76" t="s">
        <v>29</v>
      </c>
      <c r="L18" s="87" t="s">
        <v>7</v>
      </c>
      <c r="M18" s="87" t="s">
        <v>8</v>
      </c>
      <c r="N18" s="87" t="s">
        <v>9</v>
      </c>
      <c r="O18" s="87" t="s">
        <v>10</v>
      </c>
      <c r="P18" s="87" t="s">
        <v>11</v>
      </c>
      <c r="Q18" s="87" t="s">
        <v>12</v>
      </c>
      <c r="R18" s="87" t="s">
        <v>13</v>
      </c>
      <c r="S18" s="87" t="s">
        <v>14</v>
      </c>
      <c r="T18" s="6"/>
      <c r="U18" s="6"/>
      <c r="V18" s="225"/>
      <c r="W18" s="41"/>
      <c r="X18" s="142"/>
      <c r="Y18" s="113"/>
      <c r="Z18" s="113"/>
      <c r="AB18" s="112">
        <v>12</v>
      </c>
      <c r="AC18" s="138">
        <f>SUM($F$7:G18)</f>
        <v>37</v>
      </c>
      <c r="AD18" s="138">
        <f>IF(F18="","",ABS(AC18-'The Results'!AC18))</f>
        <v>37</v>
      </c>
      <c r="AE18" s="138"/>
      <c r="AF18" s="110" t="str">
        <f t="shared" si="0"/>
        <v>Brazil</v>
      </c>
      <c r="AG18" s="138">
        <f t="shared" si="1"/>
        <v>2</v>
      </c>
      <c r="AH18" s="138">
        <f t="shared" si="2"/>
        <v>2</v>
      </c>
      <c r="AI18" s="138" t="str">
        <f t="shared" si="3"/>
        <v>Croatia</v>
      </c>
      <c r="AJ18" s="138"/>
      <c r="AK18" s="138" t="str">
        <f t="shared" si="4"/>
        <v>draw</v>
      </c>
      <c r="AL18" s="110" t="str">
        <f t="shared" si="5"/>
        <v>draw</v>
      </c>
      <c r="AM18" s="138"/>
      <c r="AN18" s="139">
        <f>IF(AK18='The Results'!AK18,2,0)</f>
        <v>2</v>
      </c>
      <c r="AO18" s="139">
        <f>IF(AG18='The Results'!AG18,1,0)</f>
        <v>0</v>
      </c>
      <c r="AP18" s="139">
        <f>IF(AH18='The Results'!AH18,1,0)</f>
        <v>0</v>
      </c>
      <c r="AQ18" s="139">
        <f t="shared" si="6"/>
        <v>0</v>
      </c>
      <c r="AR18" s="143" t="s">
        <v>29</v>
      </c>
      <c r="AS18" s="108" t="s">
        <v>7</v>
      </c>
      <c r="AT18" s="108" t="s">
        <v>8</v>
      </c>
      <c r="AU18" s="108" t="s">
        <v>9</v>
      </c>
      <c r="AV18" s="108" t="s">
        <v>10</v>
      </c>
      <c r="AW18" s="108" t="s">
        <v>11</v>
      </c>
      <c r="AX18" s="108" t="s">
        <v>12</v>
      </c>
      <c r="AY18" s="108" t="s">
        <v>17</v>
      </c>
      <c r="AZ18" s="108" t="s">
        <v>14</v>
      </c>
      <c r="BA18" s="108"/>
      <c r="BB18" s="108"/>
      <c r="BC18" s="108"/>
      <c r="BD18" s="110"/>
      <c r="BE18" s="108"/>
      <c r="BF18" s="136"/>
      <c r="BG18" s="108"/>
      <c r="BH18" s="108"/>
      <c r="BI18" s="110"/>
      <c r="BJ18" s="110"/>
      <c r="BK18" s="110"/>
      <c r="BL18" s="110"/>
      <c r="BM18" s="110"/>
      <c r="BN18" s="110"/>
      <c r="BO18" s="110"/>
      <c r="BP18" s="110"/>
      <c r="BQ18" s="110"/>
      <c r="BR18" s="110"/>
      <c r="BS18" s="110"/>
      <c r="BT18" s="113"/>
      <c r="BU18" s="113"/>
    </row>
    <row r="19" spans="1:73" ht="15" customHeight="1" thickBot="1">
      <c r="A19" s="4"/>
      <c r="B19" s="80" t="s">
        <v>77</v>
      </c>
      <c r="C19" s="80">
        <v>38516</v>
      </c>
      <c r="D19" s="30"/>
      <c r="E19" s="31" t="s">
        <v>22</v>
      </c>
      <c r="F19" s="78">
        <v>2</v>
      </c>
      <c r="G19" s="241">
        <v>2</v>
      </c>
      <c r="H19" s="162" t="s">
        <v>20</v>
      </c>
      <c r="I19" s="116">
        <f>IF('The Results'!F19&lt;&gt;"",SUM(AN19:AQ19),"")</f>
      </c>
      <c r="J19" s="42"/>
      <c r="K19" s="27" t="str">
        <f>VLOOKUP(BF19,BD19:BE22,2,FALSE)</f>
        <v>Argentina</v>
      </c>
      <c r="L19" s="2">
        <f>VLOOKUP(K19,AR19:AZ22,2,FALSE)</f>
        <v>3</v>
      </c>
      <c r="M19" s="2">
        <f>VLOOKUP(K19,AR19:AZ22,3,FALSE)</f>
        <v>3</v>
      </c>
      <c r="N19" s="2">
        <f>VLOOKUP(K19,AR19:AZ22,4,FALSE)</f>
        <v>0</v>
      </c>
      <c r="O19" s="2">
        <f>VLOOKUP(K19,AR19:AZ22,5,FALSE)</f>
        <v>0</v>
      </c>
      <c r="P19" s="2">
        <f>VLOOKUP(K19,AR19:AZ22,6,FALSE)</f>
        <v>7</v>
      </c>
      <c r="Q19" s="2">
        <f>VLOOKUP(K19,AR19:AZ22,7,FALSE)</f>
        <v>2</v>
      </c>
      <c r="R19" s="2">
        <f>VLOOKUP(K19,AR19:AZ22,8,FALSE)</f>
        <v>5</v>
      </c>
      <c r="S19" s="2">
        <f>VLOOKUP(K19,AR19:AZ22,9,FALSE)</f>
        <v>9</v>
      </c>
      <c r="T19" s="84">
        <f>IF('The Results'!L19&gt;0,IF(K19='The Results'!K19,3,0),"")</f>
      </c>
      <c r="U19" s="84"/>
      <c r="V19" s="225"/>
      <c r="W19" s="11"/>
      <c r="X19" s="111"/>
      <c r="Y19" s="113"/>
      <c r="Z19" s="113"/>
      <c r="AB19" s="112">
        <v>13</v>
      </c>
      <c r="AC19" s="138">
        <f>SUM($F$7:G19)</f>
        <v>41</v>
      </c>
      <c r="AD19" s="138">
        <f>IF(F19="","",ABS(AC19-'The Results'!AC19))</f>
        <v>41</v>
      </c>
      <c r="AE19" s="138"/>
      <c r="AF19" s="110" t="str">
        <f t="shared" si="0"/>
        <v>France</v>
      </c>
      <c r="AG19" s="138">
        <f t="shared" si="1"/>
        <v>2</v>
      </c>
      <c r="AH19" s="138">
        <f t="shared" si="2"/>
        <v>2</v>
      </c>
      <c r="AI19" s="138" t="str">
        <f t="shared" si="3"/>
        <v>Switzerland</v>
      </c>
      <c r="AJ19" s="138"/>
      <c r="AK19" s="138" t="str">
        <f t="shared" si="4"/>
        <v>draw</v>
      </c>
      <c r="AL19" s="110" t="str">
        <f t="shared" si="5"/>
        <v>draw</v>
      </c>
      <c r="AM19" s="138"/>
      <c r="AN19" s="139">
        <f>IF(AK19='The Results'!AK19,2,0)</f>
        <v>2</v>
      </c>
      <c r="AO19" s="139">
        <f>IF(AG19='The Results'!AG19,1,0)</f>
        <v>0</v>
      </c>
      <c r="AP19" s="139">
        <f>IF(AH19='The Results'!AH19,1,0)</f>
        <v>0</v>
      </c>
      <c r="AQ19" s="139">
        <f t="shared" si="6"/>
        <v>0</v>
      </c>
      <c r="AR19" s="140" t="s">
        <v>72</v>
      </c>
      <c r="AS19" s="110">
        <f>COUNTIF($AF$7:$AI$54,AR19)</f>
        <v>3</v>
      </c>
      <c r="AT19" s="108">
        <f>COUNTIF(winners,AR19)</f>
        <v>3</v>
      </c>
      <c r="AU19" s="108">
        <f>AS19-(AT19+AV19)</f>
        <v>0</v>
      </c>
      <c r="AV19" s="108">
        <f>COUNTIF(losers,AR19)</f>
        <v>0</v>
      </c>
      <c r="AW19" s="108">
        <f>SUM(ArgF)</f>
        <v>7</v>
      </c>
      <c r="AX19" s="108">
        <f>SUM(ArgA)</f>
        <v>2</v>
      </c>
      <c r="AY19" s="108">
        <f>SUM(AW19-AX19)</f>
        <v>5</v>
      </c>
      <c r="AZ19" s="108">
        <f>SUM((AT19*3)+AU19)</f>
        <v>9</v>
      </c>
      <c r="BA19" s="108">
        <v>9</v>
      </c>
      <c r="BB19" s="108">
        <f>CODE(MID(AR19,2,1))</f>
        <v>114</v>
      </c>
      <c r="BC19" s="108">
        <f>CODE(AR19)</f>
        <v>65</v>
      </c>
      <c r="BD19" s="110">
        <f>SUM((AZ19*100)+(AY19*10)+(AW19)-(BC19/1000)-(BB19/10000)-(BA19/100000))</f>
        <v>956.92351</v>
      </c>
      <c r="BE19" s="108" t="str">
        <f>AR19</f>
        <v>Argentina</v>
      </c>
      <c r="BF19" s="141">
        <f>LARGE(BD19:BD22,1)</f>
        <v>956.92351</v>
      </c>
      <c r="BG19" s="110"/>
      <c r="BH19" s="110"/>
      <c r="BI19" s="110"/>
      <c r="BJ19" s="110"/>
      <c r="BK19" s="110"/>
      <c r="BL19" s="110"/>
      <c r="BM19" s="110"/>
      <c r="BN19" s="110"/>
      <c r="BO19" s="110"/>
      <c r="BP19" s="110"/>
      <c r="BQ19" s="110"/>
      <c r="BR19" s="110"/>
      <c r="BS19" s="110"/>
      <c r="BT19" s="113"/>
      <c r="BU19" s="113"/>
    </row>
    <row r="20" spans="1:73" ht="15" customHeight="1" thickBot="1">
      <c r="A20" s="4"/>
      <c r="B20" s="80" t="s">
        <v>77</v>
      </c>
      <c r="C20" s="80">
        <v>38516</v>
      </c>
      <c r="D20" s="30"/>
      <c r="E20" s="31" t="s">
        <v>67</v>
      </c>
      <c r="F20" s="242">
        <v>2</v>
      </c>
      <c r="G20" s="243">
        <v>0</v>
      </c>
      <c r="H20" s="162" t="s">
        <v>68</v>
      </c>
      <c r="I20" s="116">
        <f>IF('The Results'!F20&lt;&gt;"",SUM(AN20:AQ20),"")</f>
      </c>
      <c r="J20" s="5"/>
      <c r="K20" s="27" t="str">
        <f>VLOOKUP(BF20,BD19:BE22,2,FALSE)</f>
        <v>Holland</v>
      </c>
      <c r="L20" s="2">
        <f>VLOOKUP(K20,AR19:AZ22,2,FALSE)</f>
        <v>3</v>
      </c>
      <c r="M20" s="2">
        <f>VLOOKUP(K20,AR19:AZ22,3,FALSE)</f>
        <v>2</v>
      </c>
      <c r="N20" s="2">
        <f>VLOOKUP(K20,AR19:AZ22,4,FALSE)</f>
        <v>0</v>
      </c>
      <c r="O20" s="2">
        <f>VLOOKUP(K20,AR19:AZ22,5,FALSE)</f>
        <v>1</v>
      </c>
      <c r="P20" s="2">
        <f>VLOOKUP(K20,AR19:AZ22,6,FALSE)</f>
        <v>6</v>
      </c>
      <c r="Q20" s="2">
        <f>VLOOKUP(K20,AR19:AZ22,7,FALSE)</f>
        <v>4</v>
      </c>
      <c r="R20" s="2">
        <f>VLOOKUP(K20,AR19:AZ22,8,FALSE)</f>
        <v>2</v>
      </c>
      <c r="S20" s="2">
        <f>VLOOKUP(K20,AR19:AZ22,9,FALSE)</f>
        <v>6</v>
      </c>
      <c r="T20" s="84">
        <f>IF('The Results'!L20&gt;0,IF(K20='The Results'!K20,3,0),"")</f>
      </c>
      <c r="U20" s="84"/>
      <c r="V20" s="225"/>
      <c r="W20" s="11"/>
      <c r="X20" s="111"/>
      <c r="Y20" s="113"/>
      <c r="Z20" s="113"/>
      <c r="AB20" s="112">
        <v>14</v>
      </c>
      <c r="AC20" s="138">
        <f>SUM($F$7:G20)</f>
        <v>43</v>
      </c>
      <c r="AD20" s="138">
        <f>IF(F20="","",ABS(AC20-'The Results'!AC20))</f>
        <v>43</v>
      </c>
      <c r="AE20" s="138"/>
      <c r="AF20" s="110" t="str">
        <f t="shared" si="0"/>
        <v>South Korea</v>
      </c>
      <c r="AG20" s="138">
        <f t="shared" si="1"/>
        <v>2</v>
      </c>
      <c r="AH20" s="138">
        <f t="shared" si="2"/>
        <v>0</v>
      </c>
      <c r="AI20" s="138" t="str">
        <f t="shared" si="3"/>
        <v>Togo</v>
      </c>
      <c r="AJ20" s="138"/>
      <c r="AK20" s="138" t="str">
        <f t="shared" si="4"/>
        <v>South Korea</v>
      </c>
      <c r="AL20" s="110" t="str">
        <f t="shared" si="5"/>
        <v>Togo</v>
      </c>
      <c r="AM20" s="138"/>
      <c r="AN20" s="139">
        <f>IF(AK20='The Results'!AK20,2,0)</f>
        <v>0</v>
      </c>
      <c r="AO20" s="139">
        <f>IF(AG20='The Results'!AG20,1,0)</f>
        <v>0</v>
      </c>
      <c r="AP20" s="139">
        <f>IF(AH20='The Results'!AH20,1,0)</f>
        <v>1</v>
      </c>
      <c r="AQ20" s="139">
        <f t="shared" si="6"/>
        <v>0</v>
      </c>
      <c r="AR20" s="140" t="s">
        <v>57</v>
      </c>
      <c r="AS20" s="110">
        <f>COUNTIF($AF$7:$AI$54,AR20)</f>
        <v>3</v>
      </c>
      <c r="AT20" s="108">
        <f>COUNTIF(winners,AR20)</f>
        <v>0</v>
      </c>
      <c r="AU20" s="108">
        <f>AS20-(AT20+AV20)</f>
        <v>0</v>
      </c>
      <c r="AV20" s="108">
        <f>COUNTIF(losers,AR20)</f>
        <v>3</v>
      </c>
      <c r="AW20" s="108">
        <f>SUM(IvoF)</f>
        <v>1</v>
      </c>
      <c r="AX20" s="108">
        <f>SUM(IvoA)</f>
        <v>8</v>
      </c>
      <c r="AY20" s="108">
        <f>SUM(AW20-AX20)</f>
        <v>-7</v>
      </c>
      <c r="AZ20" s="108">
        <f>SUM((AT20*3)+AU20)</f>
        <v>0</v>
      </c>
      <c r="BA20" s="108">
        <v>10</v>
      </c>
      <c r="BB20" s="108">
        <f>CODE(MID(AR20,2,1))</f>
        <v>118</v>
      </c>
      <c r="BC20" s="108">
        <f>CODE(AR20)</f>
        <v>73</v>
      </c>
      <c r="BD20" s="110">
        <f>SUM((AZ20*100)+(AY20*10)+(AW20)-(BC20/1000)-(BB20/10000)-(BA20/100000))</f>
        <v>-69.08489999999999</v>
      </c>
      <c r="BE20" s="108" t="str">
        <f>AR20</f>
        <v>Ivory Coast</v>
      </c>
      <c r="BF20" s="141">
        <f>LARGE(BD19:BD22,2)</f>
        <v>625.9167799999999</v>
      </c>
      <c r="BG20" s="110"/>
      <c r="BH20" s="110"/>
      <c r="BI20" s="110"/>
      <c r="BJ20" s="110"/>
      <c r="BK20" s="110"/>
      <c r="BL20" s="110"/>
      <c r="BM20" s="110"/>
      <c r="BN20" s="110"/>
      <c r="BO20" s="110"/>
      <c r="BP20" s="110"/>
      <c r="BQ20" s="110"/>
      <c r="BR20" s="110">
        <f>IF(SUM(BH19:BH22)=12,BG19,"")</f>
      </c>
      <c r="BS20" s="110"/>
      <c r="BT20" s="113"/>
      <c r="BU20" s="113"/>
    </row>
    <row r="21" spans="1:73" ht="15" customHeight="1" thickBot="1">
      <c r="A21" s="4"/>
      <c r="B21" s="80" t="s">
        <v>78</v>
      </c>
      <c r="C21" s="80">
        <v>38517</v>
      </c>
      <c r="D21" s="30"/>
      <c r="E21" s="31" t="s">
        <v>19</v>
      </c>
      <c r="F21" s="242">
        <v>1</v>
      </c>
      <c r="G21" s="243">
        <v>1</v>
      </c>
      <c r="H21" s="162" t="s">
        <v>69</v>
      </c>
      <c r="I21" s="116">
        <f>IF('The Results'!F21&lt;&gt;"",SUM(AN21:AQ21),"")</f>
      </c>
      <c r="J21" s="42"/>
      <c r="K21" s="27" t="str">
        <f>VLOOKUP(BF21,BD19:BE22,2,FALSE)</f>
        <v>Serbia &amp; Montenegro</v>
      </c>
      <c r="L21" s="2">
        <f>VLOOKUP(K21,AR19:AZ22,2,FALSE)</f>
        <v>3</v>
      </c>
      <c r="M21" s="2">
        <f>VLOOKUP(K21,AR19:AZ22,3,FALSE)</f>
        <v>1</v>
      </c>
      <c r="N21" s="2">
        <f>VLOOKUP(K21,AR19:AZ22,4,FALSE)</f>
        <v>0</v>
      </c>
      <c r="O21" s="2">
        <f>VLOOKUP(K21,AR19:AZ22,5,FALSE)</f>
        <v>2</v>
      </c>
      <c r="P21" s="2">
        <f>VLOOKUP(K21,AR19:AZ22,6,FALSE)</f>
        <v>4</v>
      </c>
      <c r="Q21" s="2">
        <f>VLOOKUP(K21,AR19:AZ22,7,FALSE)</f>
        <v>4</v>
      </c>
      <c r="R21" s="2">
        <f>VLOOKUP(K21,AR19:AZ22,8,FALSE)</f>
        <v>0</v>
      </c>
      <c r="S21" s="2">
        <f>VLOOKUP(K21,AR19:AZ22,9,FALSE)</f>
        <v>3</v>
      </c>
      <c r="T21" s="84">
        <f>IF('The Results'!L21&gt;0,IF(K21='The Results'!K21,3,0),"")</f>
      </c>
      <c r="U21" s="84"/>
      <c r="V21" s="225"/>
      <c r="W21" s="11"/>
      <c r="X21" s="111"/>
      <c r="Y21" s="113"/>
      <c r="Z21" s="113"/>
      <c r="AB21" s="112">
        <v>15</v>
      </c>
      <c r="AC21" s="138">
        <f>SUM($F$7:G21)</f>
        <v>45</v>
      </c>
      <c r="AD21" s="138">
        <f>IF(F21="","",ABS(AC21-'The Results'!AC21))</f>
        <v>45</v>
      </c>
      <c r="AE21" s="138"/>
      <c r="AF21" s="110" t="str">
        <f t="shared" si="0"/>
        <v>Spain</v>
      </c>
      <c r="AG21" s="138">
        <f t="shared" si="1"/>
        <v>1</v>
      </c>
      <c r="AH21" s="138">
        <f t="shared" si="2"/>
        <v>1</v>
      </c>
      <c r="AI21" s="138" t="str">
        <f t="shared" si="3"/>
        <v>Ukraine</v>
      </c>
      <c r="AJ21" s="138"/>
      <c r="AK21" s="138" t="str">
        <f t="shared" si="4"/>
        <v>draw</v>
      </c>
      <c r="AL21" s="110" t="str">
        <f t="shared" si="5"/>
        <v>draw</v>
      </c>
      <c r="AM21" s="138"/>
      <c r="AN21" s="139">
        <f>IF(AK21='The Results'!AK21,2,0)</f>
        <v>2</v>
      </c>
      <c r="AO21" s="139">
        <f>IF(AG21='The Results'!AG21,1,0)</f>
        <v>0</v>
      </c>
      <c r="AP21" s="139">
        <f>IF(AH21='The Results'!AH21,1,0)</f>
        <v>0</v>
      </c>
      <c r="AQ21" s="139">
        <f t="shared" si="6"/>
        <v>0</v>
      </c>
      <c r="AR21" s="140" t="s">
        <v>58</v>
      </c>
      <c r="AS21" s="110">
        <f>COUNTIF($AF$7:$AI$54,AR21)</f>
        <v>3</v>
      </c>
      <c r="AT21" s="108">
        <f>COUNTIF(winners,AR21)</f>
        <v>1</v>
      </c>
      <c r="AU21" s="108">
        <f>AS21-(AT21+AV21)</f>
        <v>0</v>
      </c>
      <c r="AV21" s="108">
        <f>COUNTIF(losers,AR21)</f>
        <v>2</v>
      </c>
      <c r="AW21" s="108">
        <f>SUM(SerF)</f>
        <v>4</v>
      </c>
      <c r="AX21" s="108">
        <f>SUM(SerA)</f>
        <v>4</v>
      </c>
      <c r="AY21" s="108">
        <f>SUM(AW21-AX21)</f>
        <v>0</v>
      </c>
      <c r="AZ21" s="108">
        <f>SUM((AT21*3)+AU21)</f>
        <v>3</v>
      </c>
      <c r="BA21" s="108">
        <v>11</v>
      </c>
      <c r="BB21" s="108">
        <f>CODE(MID(AR21,2,1))</f>
        <v>101</v>
      </c>
      <c r="BC21" s="108">
        <f>CODE(AR21)</f>
        <v>83</v>
      </c>
      <c r="BD21" s="110">
        <f>SUM((AZ21*100)+(AY21*10)+(AW21)-(BC21/1000)-(BB21/10000)-(BA21/100000))</f>
        <v>303.90678999999994</v>
      </c>
      <c r="BE21" s="108" t="str">
        <f>AR21</f>
        <v>Serbia &amp; Montenegro</v>
      </c>
      <c r="BF21" s="141">
        <f>LARGE(BD19:BD22,3)</f>
        <v>303.90678999999994</v>
      </c>
      <c r="BG21" s="110"/>
      <c r="BH21" s="110"/>
      <c r="BI21" s="110"/>
      <c r="BJ21" s="110"/>
      <c r="BK21" s="110"/>
      <c r="BL21" s="110"/>
      <c r="BM21" s="110"/>
      <c r="BN21" s="110"/>
      <c r="BO21" s="110"/>
      <c r="BP21" s="110"/>
      <c r="BQ21" s="110"/>
      <c r="BR21" s="110">
        <f>IF(SUM(BH19:BH22)=12,BG20,"")</f>
      </c>
      <c r="BS21" s="110"/>
      <c r="BT21" s="113"/>
      <c r="BU21" s="113"/>
    </row>
    <row r="22" spans="1:73" ht="15" customHeight="1" thickBot="1">
      <c r="A22" s="4"/>
      <c r="B22" s="170" t="s">
        <v>78</v>
      </c>
      <c r="C22" s="80">
        <v>38517</v>
      </c>
      <c r="D22" s="30"/>
      <c r="E22" s="31" t="s">
        <v>70</v>
      </c>
      <c r="F22" s="242">
        <v>2</v>
      </c>
      <c r="G22" s="243">
        <v>2</v>
      </c>
      <c r="H22" s="162" t="s">
        <v>71</v>
      </c>
      <c r="I22" s="116">
        <f>IF('The Results'!F22&lt;&gt;"",SUM(AN22:AQ22),"")</f>
      </c>
      <c r="J22" s="5"/>
      <c r="K22" s="27" t="str">
        <f>VLOOKUP(BF22,BD19:BE22,2,FALSE)</f>
        <v>Ivory Coast</v>
      </c>
      <c r="L22" s="2">
        <f>VLOOKUP(K22,AR19:AZ22,2,FALSE)</f>
        <v>3</v>
      </c>
      <c r="M22" s="2">
        <f>VLOOKUP(K22,AR19:AZ22,3,FALSE)</f>
        <v>0</v>
      </c>
      <c r="N22" s="2">
        <f>VLOOKUP(K22,AR19:AZ22,4,FALSE)</f>
        <v>0</v>
      </c>
      <c r="O22" s="2">
        <f>VLOOKUP(K22,AR19:AZ22,5,FALSE)</f>
        <v>3</v>
      </c>
      <c r="P22" s="2">
        <f>VLOOKUP(K22,AR19:AZ22,6,FALSE)</f>
        <v>1</v>
      </c>
      <c r="Q22" s="2">
        <f>VLOOKUP(K22,AR19:AZ22,7,FALSE)</f>
        <v>8</v>
      </c>
      <c r="R22" s="2">
        <f>VLOOKUP(K22,AR19:AZ22,8,FALSE)</f>
        <v>-7</v>
      </c>
      <c r="S22" s="2">
        <f>VLOOKUP(K22,AR19:AZ22,9,FALSE)</f>
        <v>0</v>
      </c>
      <c r="T22" s="84">
        <f>IF('The Results'!L22&gt;0,IF(K22='The Results'!K22,3,0),"")</f>
      </c>
      <c r="U22" s="84"/>
      <c r="V22" s="226"/>
      <c r="W22" s="41"/>
      <c r="X22" s="142"/>
      <c r="Y22" s="113"/>
      <c r="Z22" s="113"/>
      <c r="AB22" s="112">
        <v>16</v>
      </c>
      <c r="AC22" s="138">
        <f>SUM($F$7:G22)</f>
        <v>49</v>
      </c>
      <c r="AD22" s="138">
        <f>IF(F22="","",ABS(AC22-'The Results'!AC22))</f>
        <v>49</v>
      </c>
      <c r="AE22" s="138"/>
      <c r="AF22" s="110" t="str">
        <f t="shared" si="0"/>
        <v>Tunisia</v>
      </c>
      <c r="AG22" s="138">
        <f t="shared" si="1"/>
        <v>2</v>
      </c>
      <c r="AH22" s="138">
        <f t="shared" si="2"/>
        <v>2</v>
      </c>
      <c r="AI22" s="138" t="str">
        <f t="shared" si="3"/>
        <v>Saudi Arabia</v>
      </c>
      <c r="AJ22" s="138"/>
      <c r="AK22" s="138" t="str">
        <f t="shared" si="4"/>
        <v>draw</v>
      </c>
      <c r="AL22" s="110" t="str">
        <f t="shared" si="5"/>
        <v>draw</v>
      </c>
      <c r="AM22" s="138"/>
      <c r="AN22" s="139">
        <f>IF(AK22='The Results'!AK22,2,0)</f>
        <v>2</v>
      </c>
      <c r="AO22" s="139">
        <f>IF(AG22='The Results'!AG22,1,0)</f>
        <v>0</v>
      </c>
      <c r="AP22" s="139">
        <f>IF(AH22='The Results'!AH22,1,0)</f>
        <v>0</v>
      </c>
      <c r="AQ22" s="139">
        <f t="shared" si="6"/>
        <v>0</v>
      </c>
      <c r="AR22" s="140" t="s">
        <v>59</v>
      </c>
      <c r="AS22" s="110">
        <f>COUNTIF($AF$7:$AI$54,AR22)</f>
        <v>3</v>
      </c>
      <c r="AT22" s="108">
        <f>COUNTIF(winners,AR22)</f>
        <v>2</v>
      </c>
      <c r="AU22" s="108">
        <f>AS22-(AT22+AV22)</f>
        <v>0</v>
      </c>
      <c r="AV22" s="108">
        <f>COUNTIF(losers,AR22)</f>
        <v>1</v>
      </c>
      <c r="AW22" s="108">
        <f>SUM(HolF)</f>
        <v>6</v>
      </c>
      <c r="AX22" s="108">
        <f>SUM(HolA)</f>
        <v>4</v>
      </c>
      <c r="AY22" s="108">
        <f>SUM(AW22-AX22)</f>
        <v>2</v>
      </c>
      <c r="AZ22" s="108">
        <f>SUM((AT22*3)+AU22)</f>
        <v>6</v>
      </c>
      <c r="BA22" s="108">
        <v>12</v>
      </c>
      <c r="BB22" s="108">
        <f>CODE(MID(AR22,2,1))</f>
        <v>111</v>
      </c>
      <c r="BC22" s="108">
        <f>CODE(AR22)</f>
        <v>72</v>
      </c>
      <c r="BD22" s="110">
        <f>SUM((AZ22*100)+(AY22*10)+(AW22)-(BC22/1000)-(BB22/10000)-(BA22/100000))</f>
        <v>625.9167799999999</v>
      </c>
      <c r="BE22" s="108" t="str">
        <f>AR22</f>
        <v>Holland</v>
      </c>
      <c r="BF22" s="141">
        <f>LARGE(BD19:BD22,4)</f>
        <v>-69.08489999999999</v>
      </c>
      <c r="BG22" s="110"/>
      <c r="BH22" s="110"/>
      <c r="BI22" s="110"/>
      <c r="BJ22" s="110"/>
      <c r="BK22" s="110"/>
      <c r="BL22" s="110"/>
      <c r="BM22" s="110"/>
      <c r="BN22" s="110"/>
      <c r="BO22" s="110"/>
      <c r="BP22" s="110"/>
      <c r="BQ22" s="110"/>
      <c r="BR22" s="110"/>
      <c r="BS22" s="110"/>
      <c r="BT22" s="113"/>
      <c r="BU22" s="113"/>
    </row>
    <row r="23" spans="1:73" ht="15" customHeight="1" thickBot="1">
      <c r="A23" s="4"/>
      <c r="B23" s="170" t="s">
        <v>78</v>
      </c>
      <c r="C23" s="80">
        <v>38517</v>
      </c>
      <c r="D23" s="30"/>
      <c r="E23" s="31" t="s">
        <v>28</v>
      </c>
      <c r="F23" s="242">
        <v>2</v>
      </c>
      <c r="G23" s="243">
        <v>1</v>
      </c>
      <c r="H23" s="162" t="s">
        <v>53</v>
      </c>
      <c r="I23" s="116">
        <f>IF('The Results'!F23&lt;&gt;"",SUM(AN23:AQ23),"")</f>
      </c>
      <c r="J23" s="32"/>
      <c r="K23" s="5"/>
      <c r="L23" s="4"/>
      <c r="M23" s="4"/>
      <c r="N23" s="4"/>
      <c r="O23" s="4"/>
      <c r="P23" s="4"/>
      <c r="Q23" s="4"/>
      <c r="R23" s="4"/>
      <c r="S23" s="4"/>
      <c r="T23" s="86"/>
      <c r="U23" s="86"/>
      <c r="V23" s="226"/>
      <c r="W23" s="11"/>
      <c r="X23" s="111"/>
      <c r="Y23" s="113"/>
      <c r="Z23" s="32"/>
      <c r="AB23" s="112">
        <v>17</v>
      </c>
      <c r="AC23" s="138">
        <f>SUM($F$7:G23)</f>
        <v>52</v>
      </c>
      <c r="AD23" s="138">
        <f>IF(F23="","",ABS(AC23-'The Results'!AC23))</f>
        <v>52</v>
      </c>
      <c r="AE23" s="138"/>
      <c r="AF23" s="110" t="str">
        <f t="shared" si="0"/>
        <v>Germany</v>
      </c>
      <c r="AG23" s="138">
        <f t="shared" si="1"/>
        <v>2</v>
      </c>
      <c r="AH23" s="138">
        <f t="shared" si="2"/>
        <v>1</v>
      </c>
      <c r="AI23" s="138" t="str">
        <f t="shared" si="3"/>
        <v>Poland</v>
      </c>
      <c r="AJ23" s="138"/>
      <c r="AK23" s="138" t="str">
        <f t="shared" si="4"/>
        <v>Germany</v>
      </c>
      <c r="AL23" s="110" t="str">
        <f t="shared" si="5"/>
        <v>Poland</v>
      </c>
      <c r="AM23" s="138"/>
      <c r="AN23" s="139">
        <f>IF(AK23='The Results'!AK23,2,0)</f>
        <v>0</v>
      </c>
      <c r="AO23" s="139">
        <f>IF(AG23='The Results'!AG23,1,0)</f>
        <v>0</v>
      </c>
      <c r="AP23" s="139">
        <f>IF(AH23='The Results'!AH23,1,0)</f>
        <v>0</v>
      </c>
      <c r="AQ23" s="139">
        <f aca="true" t="shared" si="7" ref="AQ23:AQ54">IF(SUM(AN23:AP23)=4,1,0)</f>
        <v>0</v>
      </c>
      <c r="AS23" s="110"/>
      <c r="AT23" s="108"/>
      <c r="AU23" s="108"/>
      <c r="AV23" s="108"/>
      <c r="AW23" s="108"/>
      <c r="AX23" s="108"/>
      <c r="AY23" s="108"/>
      <c r="AZ23" s="108"/>
      <c r="BA23" s="108"/>
      <c r="BB23" s="108"/>
      <c r="BC23" s="108"/>
      <c r="BD23" s="110"/>
      <c r="BE23" s="108" t="str">
        <f>AR24</f>
        <v>Group D</v>
      </c>
      <c r="BF23" s="144"/>
      <c r="BG23" s="108"/>
      <c r="BH23" s="108"/>
      <c r="BI23" s="108"/>
      <c r="BJ23" s="108"/>
      <c r="BK23" s="108"/>
      <c r="BL23" s="108"/>
      <c r="BM23" s="108"/>
      <c r="BN23" s="108"/>
      <c r="BO23" s="108"/>
      <c r="BP23" s="110"/>
      <c r="BQ23" s="108"/>
      <c r="BR23" s="110"/>
      <c r="BS23" s="108"/>
      <c r="BT23" s="32"/>
      <c r="BU23" s="32"/>
    </row>
    <row r="24" spans="1:73" ht="15" customHeight="1" thickBot="1">
      <c r="A24" s="45"/>
      <c r="B24" s="170" t="s">
        <v>79</v>
      </c>
      <c r="C24" s="80">
        <v>38518</v>
      </c>
      <c r="D24" s="49"/>
      <c r="E24" s="31" t="s">
        <v>54</v>
      </c>
      <c r="F24" s="242">
        <v>1</v>
      </c>
      <c r="G24" s="243">
        <v>1</v>
      </c>
      <c r="H24" s="162" t="s">
        <v>52</v>
      </c>
      <c r="I24" s="116">
        <f>IF('The Results'!F24&lt;&gt;"",SUM(AN24:AQ24),"")</f>
      </c>
      <c r="J24" s="26"/>
      <c r="K24" s="76" t="s">
        <v>32</v>
      </c>
      <c r="L24" s="87" t="s">
        <v>7</v>
      </c>
      <c r="M24" s="87" t="s">
        <v>8</v>
      </c>
      <c r="N24" s="87" t="s">
        <v>9</v>
      </c>
      <c r="O24" s="87" t="s">
        <v>10</v>
      </c>
      <c r="P24" s="87" t="s">
        <v>11</v>
      </c>
      <c r="Q24" s="87" t="s">
        <v>12</v>
      </c>
      <c r="R24" s="87" t="s">
        <v>13</v>
      </c>
      <c r="S24" s="87" t="s">
        <v>14</v>
      </c>
      <c r="T24" s="6"/>
      <c r="U24" s="6"/>
      <c r="V24" s="228" t="s">
        <v>101</v>
      </c>
      <c r="W24" s="21"/>
      <c r="X24" s="113"/>
      <c r="Y24" s="113"/>
      <c r="Z24" s="32"/>
      <c r="AB24" s="112">
        <v>18</v>
      </c>
      <c r="AC24" s="138">
        <f>SUM($F$7:G24)</f>
        <v>54</v>
      </c>
      <c r="AD24" s="138">
        <f>IF(F24="","",ABS(AC24-'The Results'!AC24))</f>
        <v>54</v>
      </c>
      <c r="AE24" s="138"/>
      <c r="AF24" s="110" t="str">
        <f t="shared" si="0"/>
        <v>Ecuador</v>
      </c>
      <c r="AG24" s="138">
        <f t="shared" si="1"/>
        <v>1</v>
      </c>
      <c r="AH24" s="138">
        <f t="shared" si="2"/>
        <v>1</v>
      </c>
      <c r="AI24" s="138" t="str">
        <f t="shared" si="3"/>
        <v>Costa Rica</v>
      </c>
      <c r="AJ24" s="138"/>
      <c r="AK24" s="138" t="str">
        <f t="shared" si="4"/>
        <v>draw</v>
      </c>
      <c r="AL24" s="110" t="str">
        <f t="shared" si="5"/>
        <v>draw</v>
      </c>
      <c r="AM24" s="138"/>
      <c r="AN24" s="139">
        <f>IF(AK24='The Results'!AK24,2,0)</f>
        <v>2</v>
      </c>
      <c r="AO24" s="139">
        <f>IF(AG24='The Results'!AG24,1,0)</f>
        <v>0</v>
      </c>
      <c r="AP24" s="139">
        <f>IF(AH24='The Results'!AH24,1,0)</f>
        <v>0</v>
      </c>
      <c r="AQ24" s="139">
        <f t="shared" si="7"/>
        <v>0</v>
      </c>
      <c r="AR24" s="143" t="s">
        <v>32</v>
      </c>
      <c r="AS24" s="108" t="s">
        <v>7</v>
      </c>
      <c r="AT24" s="108" t="s">
        <v>8</v>
      </c>
      <c r="AU24" s="108" t="s">
        <v>9</v>
      </c>
      <c r="AV24" s="108" t="s">
        <v>10</v>
      </c>
      <c r="AW24" s="108" t="s">
        <v>11</v>
      </c>
      <c r="AX24" s="108" t="s">
        <v>12</v>
      </c>
      <c r="AY24" s="108" t="s">
        <v>17</v>
      </c>
      <c r="AZ24" s="108" t="s">
        <v>14</v>
      </c>
      <c r="BA24" s="108"/>
      <c r="BB24" s="108"/>
      <c r="BC24" s="108"/>
      <c r="BD24" s="110"/>
      <c r="BE24" s="108"/>
      <c r="BF24" s="136"/>
      <c r="BG24" s="108"/>
      <c r="BH24" s="108"/>
      <c r="BI24" s="108"/>
      <c r="BJ24" s="108"/>
      <c r="BK24" s="108"/>
      <c r="BL24" s="108"/>
      <c r="BM24" s="108"/>
      <c r="BN24" s="108"/>
      <c r="BO24" s="108"/>
      <c r="BP24" s="108"/>
      <c r="BQ24" s="108"/>
      <c r="BR24" s="108"/>
      <c r="BS24" s="108"/>
      <c r="BT24" s="32"/>
      <c r="BU24" s="32"/>
    </row>
    <row r="25" spans="1:73" ht="15" customHeight="1" thickBot="1">
      <c r="A25" s="47"/>
      <c r="B25" s="170" t="s">
        <v>79</v>
      </c>
      <c r="C25" s="80">
        <v>38518</v>
      </c>
      <c r="D25" s="49"/>
      <c r="E25" s="31" t="s">
        <v>23</v>
      </c>
      <c r="F25" s="242">
        <v>5</v>
      </c>
      <c r="G25" s="243">
        <v>0</v>
      </c>
      <c r="H25" s="162" t="s">
        <v>56</v>
      </c>
      <c r="I25" s="116">
        <f>IF('The Results'!F25&lt;&gt;"",SUM(AN25:AQ25),"")</f>
      </c>
      <c r="J25" s="32"/>
      <c r="K25" s="27" t="str">
        <f>VLOOKUP(BF25,BD25:BE28,2,FALSE)</f>
        <v>Portugal</v>
      </c>
      <c r="L25" s="2">
        <f>VLOOKUP(K25,AR25:AZ28,2,FALSE)</f>
        <v>3</v>
      </c>
      <c r="M25" s="2">
        <f>VLOOKUP(K25,AR25:AZ28,3,FALSE)</f>
        <v>2</v>
      </c>
      <c r="N25" s="2">
        <f>VLOOKUP(K25,AR25:AZ28,4,FALSE)</f>
        <v>1</v>
      </c>
      <c r="O25" s="2">
        <f>VLOOKUP(K25,AR25:AZ28,5,FALSE)</f>
        <v>0</v>
      </c>
      <c r="P25" s="2">
        <f>VLOOKUP(K25,AR25:AZ28,6,FALSE)</f>
        <v>9</v>
      </c>
      <c r="Q25" s="2">
        <f>VLOOKUP(K25,AR25:AZ28,7,FALSE)</f>
        <v>5</v>
      </c>
      <c r="R25" s="2">
        <f>VLOOKUP(K25,AR25:AZ28,8,FALSE)</f>
        <v>4</v>
      </c>
      <c r="S25" s="2">
        <f>VLOOKUP(K25,AR25:AZ28,9,FALSE)</f>
        <v>7</v>
      </c>
      <c r="T25" s="84">
        <f>IF('The Results'!L25&gt;0,IF(K25='The Results'!K25,3,0),"")</f>
      </c>
      <c r="U25" s="84"/>
      <c r="V25" s="227" t="s">
        <v>100</v>
      </c>
      <c r="W25" s="21"/>
      <c r="X25" s="113"/>
      <c r="Y25" s="113"/>
      <c r="Z25" s="32"/>
      <c r="AB25" s="112">
        <v>19</v>
      </c>
      <c r="AC25" s="138">
        <f>SUM($F$7:G25)</f>
        <v>59</v>
      </c>
      <c r="AD25" s="138">
        <f>IF(F25="","",ABS(AC25-'The Results'!AC25))</f>
        <v>59</v>
      </c>
      <c r="AE25" s="138"/>
      <c r="AF25" s="110" t="str">
        <f t="shared" si="0"/>
        <v>England</v>
      </c>
      <c r="AG25" s="138">
        <f t="shared" si="1"/>
        <v>5</v>
      </c>
      <c r="AH25" s="138">
        <f t="shared" si="2"/>
        <v>0</v>
      </c>
      <c r="AI25" s="138" t="str">
        <f t="shared" si="3"/>
        <v>Trinidad &amp; Tobago</v>
      </c>
      <c r="AJ25" s="138"/>
      <c r="AK25" s="138" t="str">
        <f t="shared" si="4"/>
        <v>England</v>
      </c>
      <c r="AL25" s="110" t="str">
        <f t="shared" si="5"/>
        <v>Trinidad &amp; Tobago</v>
      </c>
      <c r="AM25" s="138"/>
      <c r="AN25" s="139">
        <f>IF(AK25='The Results'!AK25,2,0)</f>
        <v>0</v>
      </c>
      <c r="AO25" s="139">
        <f>IF(AG25='The Results'!AG25,1,0)</f>
        <v>0</v>
      </c>
      <c r="AP25" s="139">
        <f>IF(AH25='The Results'!AH25,1,0)</f>
        <v>1</v>
      </c>
      <c r="AQ25" s="139">
        <f t="shared" si="7"/>
        <v>0</v>
      </c>
      <c r="AR25" s="140" t="s">
        <v>60</v>
      </c>
      <c r="AS25" s="110">
        <f>COUNTIF($AF$7:$AI$54,AR25)</f>
        <v>3</v>
      </c>
      <c r="AT25" s="108">
        <f>COUNTIF(winners,AR25)</f>
        <v>2</v>
      </c>
      <c r="AU25" s="108">
        <f>AS25-(AT25+AV25)</f>
        <v>0</v>
      </c>
      <c r="AV25" s="108">
        <f>COUNTIF(losers,AR25)</f>
        <v>1</v>
      </c>
      <c r="AW25" s="108">
        <f>SUM(MexF)</f>
        <v>6</v>
      </c>
      <c r="AX25" s="108">
        <f>SUM(MexA)</f>
        <v>5</v>
      </c>
      <c r="AY25" s="108">
        <f>SUM(AW25-AX25)</f>
        <v>1</v>
      </c>
      <c r="AZ25" s="108">
        <f>SUM((AT25*3)+AU25)</f>
        <v>6</v>
      </c>
      <c r="BA25" s="108">
        <v>13</v>
      </c>
      <c r="BB25" s="108">
        <f>CODE(MID(AR25,2,1))</f>
        <v>101</v>
      </c>
      <c r="BC25" s="108">
        <f>CODE(AR25)</f>
        <v>77</v>
      </c>
      <c r="BD25" s="110">
        <f>SUM((AZ25*100)+(AY25*10)+(AW25)-(BC25/1000)-(BB25/10000)-(BA25/100000))</f>
        <v>615.91277</v>
      </c>
      <c r="BE25" s="108" t="str">
        <f>AR25</f>
        <v>Mexico</v>
      </c>
      <c r="BF25" s="141">
        <f>LARGE(BD25:BD28,1)</f>
        <v>748.9087399999999</v>
      </c>
      <c r="BG25" s="110"/>
      <c r="BH25" s="110"/>
      <c r="BI25" s="110"/>
      <c r="BJ25" s="110"/>
      <c r="BK25" s="110"/>
      <c r="BL25" s="110"/>
      <c r="BM25" s="110"/>
      <c r="BN25" s="110"/>
      <c r="BO25" s="110"/>
      <c r="BP25" s="108"/>
      <c r="BQ25" s="108"/>
      <c r="BR25" s="108"/>
      <c r="BS25" s="108"/>
      <c r="BT25" s="32"/>
      <c r="BU25" s="32"/>
    </row>
    <row r="26" spans="1:73" ht="15" customHeight="1" thickBot="1">
      <c r="A26" s="47"/>
      <c r="B26" s="170" t="s">
        <v>79</v>
      </c>
      <c r="C26" s="80">
        <v>38518</v>
      </c>
      <c r="D26" s="30"/>
      <c r="E26" s="31" t="s">
        <v>26</v>
      </c>
      <c r="F26" s="242">
        <v>2</v>
      </c>
      <c r="G26" s="243">
        <v>1</v>
      </c>
      <c r="H26" s="162" t="s">
        <v>55</v>
      </c>
      <c r="I26" s="116">
        <f>IF('The Results'!F26&lt;&gt;"",SUM(AN26:AQ26),"")</f>
      </c>
      <c r="J26" s="26"/>
      <c r="K26" s="27" t="str">
        <f>VLOOKUP(BF26,BD25:BE28,2,FALSE)</f>
        <v>Mexico</v>
      </c>
      <c r="L26" s="2">
        <f>VLOOKUP(K26,AR25:AZ28,2,FALSE)</f>
        <v>3</v>
      </c>
      <c r="M26" s="2">
        <f>VLOOKUP(K26,AR25:AZ28,3,FALSE)</f>
        <v>2</v>
      </c>
      <c r="N26" s="2">
        <f>VLOOKUP(K26,AR25:AZ28,4,FALSE)</f>
        <v>0</v>
      </c>
      <c r="O26" s="2">
        <f>VLOOKUP(K26,AR25:AZ28,5,FALSE)</f>
        <v>1</v>
      </c>
      <c r="P26" s="2">
        <f>VLOOKUP(K26,AR25:AZ28,6,FALSE)</f>
        <v>6</v>
      </c>
      <c r="Q26" s="2">
        <f>VLOOKUP(K26,AR25:AZ28,7,FALSE)</f>
        <v>5</v>
      </c>
      <c r="R26" s="2">
        <f>VLOOKUP(K26,AR25:AZ28,8,FALSE)</f>
        <v>1</v>
      </c>
      <c r="S26" s="2">
        <f>VLOOKUP(K26,AR25:AZ28,9,FALSE)</f>
        <v>6</v>
      </c>
      <c r="T26" s="84">
        <f>IF('The Results'!L26&gt;0,IF(K26='The Results'!K26,3,0),"")</f>
      </c>
      <c r="U26" s="84"/>
      <c r="W26" s="41"/>
      <c r="X26" s="142"/>
      <c r="Y26" s="113"/>
      <c r="Z26" s="32"/>
      <c r="AB26" s="112">
        <v>20</v>
      </c>
      <c r="AC26" s="138">
        <f>SUM($F$7:G26)</f>
        <v>62</v>
      </c>
      <c r="AD26" s="138">
        <f>IF(F26="","",ABS(AC26-'The Results'!AC26))</f>
        <v>62</v>
      </c>
      <c r="AE26" s="138"/>
      <c r="AF26" s="110" t="str">
        <f t="shared" si="0"/>
        <v>Sweden</v>
      </c>
      <c r="AG26" s="138">
        <f t="shared" si="1"/>
        <v>2</v>
      </c>
      <c r="AH26" s="138">
        <f t="shared" si="2"/>
        <v>1</v>
      </c>
      <c r="AI26" s="138" t="str">
        <f t="shared" si="3"/>
        <v>Paraguay</v>
      </c>
      <c r="AJ26" s="138"/>
      <c r="AK26" s="138" t="str">
        <f t="shared" si="4"/>
        <v>Sweden</v>
      </c>
      <c r="AL26" s="110" t="str">
        <f t="shared" si="5"/>
        <v>Paraguay</v>
      </c>
      <c r="AM26" s="138"/>
      <c r="AN26" s="139">
        <f>IF(AK26='The Results'!AK26,2,0)</f>
        <v>0</v>
      </c>
      <c r="AO26" s="139">
        <f>IF(AG26='The Results'!AG26,1,0)</f>
        <v>0</v>
      </c>
      <c r="AP26" s="139">
        <f>IF(AH26='The Results'!AH26,1,0)</f>
        <v>0</v>
      </c>
      <c r="AQ26" s="139">
        <f t="shared" si="7"/>
        <v>0</v>
      </c>
      <c r="AR26" s="140" t="s">
        <v>61</v>
      </c>
      <c r="AS26" s="110">
        <f>COUNTIF($AF$7:$AI$54,AR26)</f>
        <v>3</v>
      </c>
      <c r="AT26" s="108">
        <f>COUNTIF(winners,AR26)</f>
        <v>1</v>
      </c>
      <c r="AU26" s="108">
        <f>AS26-(AT26+AV26)</f>
        <v>1</v>
      </c>
      <c r="AV26" s="108">
        <f>COUNTIF(losers,AR26)</f>
        <v>1</v>
      </c>
      <c r="AW26" s="108">
        <f>SUM(IraF)</f>
        <v>5</v>
      </c>
      <c r="AX26" s="108">
        <f>SUM(IraA)</f>
        <v>4</v>
      </c>
      <c r="AY26" s="108">
        <f>SUM(AW26-AX26)</f>
        <v>1</v>
      </c>
      <c r="AZ26" s="108">
        <f>SUM((AT26*3)+AU26)</f>
        <v>4</v>
      </c>
      <c r="BA26" s="108">
        <v>14</v>
      </c>
      <c r="BB26" s="108">
        <f>CODE(MID(AR26,2,1))</f>
        <v>114</v>
      </c>
      <c r="BC26" s="108">
        <f>CODE(AR26)</f>
        <v>73</v>
      </c>
      <c r="BD26" s="110">
        <f>SUM((AZ26*100)+(AY26*10)+(AW26)-(BC26/1000)-(BB26/10000)-(BA26/100000))</f>
        <v>414.91546000000005</v>
      </c>
      <c r="BE26" s="108" t="str">
        <f>AR26</f>
        <v>Iran</v>
      </c>
      <c r="BF26" s="141">
        <f>LARGE(BD25:BD28,2)</f>
        <v>615.91277</v>
      </c>
      <c r="BG26" s="110"/>
      <c r="BH26" s="110"/>
      <c r="BI26" s="110"/>
      <c r="BJ26" s="110"/>
      <c r="BK26" s="110"/>
      <c r="BL26" s="110"/>
      <c r="BM26" s="110"/>
      <c r="BN26" s="110"/>
      <c r="BO26" s="110"/>
      <c r="BP26" s="108"/>
      <c r="BQ26" s="108"/>
      <c r="BR26" s="108"/>
      <c r="BS26" s="108"/>
      <c r="BT26" s="32"/>
      <c r="BU26" s="32"/>
    </row>
    <row r="27" spans="1:73" ht="15" customHeight="1" thickBot="1">
      <c r="A27" s="51"/>
      <c r="B27" s="170" t="s">
        <v>73</v>
      </c>
      <c r="C27" s="80">
        <v>38519</v>
      </c>
      <c r="D27" s="30"/>
      <c r="E27" s="31" t="s">
        <v>72</v>
      </c>
      <c r="F27" s="78">
        <v>2</v>
      </c>
      <c r="G27" s="241">
        <v>1</v>
      </c>
      <c r="H27" s="162" t="s">
        <v>58</v>
      </c>
      <c r="I27" s="116">
        <f>IF('The Results'!F27&lt;&gt;"",SUM(AN27:AQ27),"")</f>
      </c>
      <c r="J27" s="34"/>
      <c r="K27" s="27" t="str">
        <f>VLOOKUP(BF27,BD25:BE28,2,FALSE)</f>
        <v>Iran</v>
      </c>
      <c r="L27" s="2">
        <f>VLOOKUP(K27,AR25:AZ28,2,FALSE)</f>
        <v>3</v>
      </c>
      <c r="M27" s="2">
        <f>VLOOKUP(K27,AR25:AZ28,3,FALSE)</f>
        <v>1</v>
      </c>
      <c r="N27" s="2">
        <f>VLOOKUP(K27,AR25:AZ28,4,FALSE)</f>
        <v>1</v>
      </c>
      <c r="O27" s="2">
        <f>VLOOKUP(K27,AR25:AZ28,5,FALSE)</f>
        <v>1</v>
      </c>
      <c r="P27" s="2">
        <f>VLOOKUP(K27,AR25:AZ28,6,FALSE)</f>
        <v>5</v>
      </c>
      <c r="Q27" s="2">
        <f>VLOOKUP(K27,AR25:AZ28,7,FALSE)</f>
        <v>4</v>
      </c>
      <c r="R27" s="2">
        <f>VLOOKUP(K27,AR25:AZ28,8,FALSE)</f>
        <v>1</v>
      </c>
      <c r="S27" s="2">
        <f>VLOOKUP(K27,AR25:AZ28,9,FALSE)</f>
        <v>4</v>
      </c>
      <c r="T27" s="84">
        <f>IF('The Results'!L27&gt;0,IF(K27='The Results'!K27,3,0),"")</f>
      </c>
      <c r="U27" s="84"/>
      <c r="V27" s="38"/>
      <c r="W27" s="11"/>
      <c r="X27" s="111"/>
      <c r="Y27" s="113"/>
      <c r="Z27" s="32"/>
      <c r="AB27" s="112">
        <v>21</v>
      </c>
      <c r="AC27" s="138">
        <f>SUM($F$7:G27)</f>
        <v>65</v>
      </c>
      <c r="AD27" s="138">
        <f>IF(F27="","",ABS(AC27-'The Results'!AC27))</f>
        <v>65</v>
      </c>
      <c r="AE27" s="138"/>
      <c r="AF27" s="110" t="str">
        <f t="shared" si="0"/>
        <v>Argentina</v>
      </c>
      <c r="AG27" s="138">
        <f t="shared" si="1"/>
        <v>2</v>
      </c>
      <c r="AH27" s="138">
        <f t="shared" si="2"/>
        <v>1</v>
      </c>
      <c r="AI27" s="138" t="str">
        <f t="shared" si="3"/>
        <v>Serbia &amp; Montenegro</v>
      </c>
      <c r="AJ27" s="138"/>
      <c r="AK27" s="138" t="str">
        <f t="shared" si="4"/>
        <v>Argentina</v>
      </c>
      <c r="AL27" s="110" t="str">
        <f t="shared" si="5"/>
        <v>Serbia &amp; Montenegro</v>
      </c>
      <c r="AM27" s="138"/>
      <c r="AN27" s="139">
        <f>IF(AK27='The Results'!AK27,2,0)</f>
        <v>0</v>
      </c>
      <c r="AO27" s="139">
        <f>IF(AG27='The Results'!AG27,1,0)</f>
        <v>0</v>
      </c>
      <c r="AP27" s="139">
        <f>IF(AH27='The Results'!AH27,1,0)</f>
        <v>0</v>
      </c>
      <c r="AQ27" s="139">
        <f t="shared" si="7"/>
        <v>0</v>
      </c>
      <c r="AR27" s="140" t="s">
        <v>62</v>
      </c>
      <c r="AS27" s="110">
        <f>COUNTIF($AF$7:$AI$54,AR27)</f>
        <v>3</v>
      </c>
      <c r="AT27" s="108">
        <f>COUNTIF(winners,AR27)</f>
        <v>0</v>
      </c>
      <c r="AU27" s="108">
        <f>AS27-(AT27+AV27)</f>
        <v>0</v>
      </c>
      <c r="AV27" s="108">
        <f>COUNTIF(losers,AR27)</f>
        <v>3</v>
      </c>
      <c r="AW27" s="108">
        <f>SUM(AngF)</f>
        <v>2</v>
      </c>
      <c r="AX27" s="108">
        <f>SUM(AngA)</f>
        <v>8</v>
      </c>
      <c r="AY27" s="108">
        <f>SUM(AW27-AX27)</f>
        <v>-6</v>
      </c>
      <c r="AZ27" s="108">
        <f>SUM((AT27*3)+AU27)</f>
        <v>0</v>
      </c>
      <c r="BA27" s="108">
        <v>15</v>
      </c>
      <c r="BB27" s="108">
        <f>CODE(MID(AR27,2,1))</f>
        <v>110</v>
      </c>
      <c r="BC27" s="108">
        <f>CODE(AR27)</f>
        <v>65</v>
      </c>
      <c r="BD27" s="110">
        <f>SUM((AZ27*100)+(AY27*10)+(AW27)-(BC27/1000)-(BB27/10000)-(BA27/100000))</f>
        <v>-58.07615</v>
      </c>
      <c r="BE27" s="108" t="str">
        <f>AR27</f>
        <v>Angola</v>
      </c>
      <c r="BF27" s="141">
        <f>LARGE(BD25:BD28,3)</f>
        <v>414.91546000000005</v>
      </c>
      <c r="BG27" s="110"/>
      <c r="BH27" s="110"/>
      <c r="BI27" s="110"/>
      <c r="BJ27" s="110"/>
      <c r="BK27" s="110"/>
      <c r="BL27" s="110"/>
      <c r="BM27" s="110"/>
      <c r="BN27" s="110"/>
      <c r="BO27" s="110"/>
      <c r="BP27" s="110"/>
      <c r="BQ27" s="108"/>
      <c r="BR27" s="110">
        <f>IF(SUM(BH25:BH28)=12,BG25,"")</f>
      </c>
      <c r="BS27" s="108"/>
      <c r="BT27" s="32"/>
      <c r="BU27" s="32"/>
    </row>
    <row r="28" spans="1:73" ht="15" customHeight="1" thickBot="1">
      <c r="A28" s="51"/>
      <c r="B28" s="170" t="s">
        <v>73</v>
      </c>
      <c r="C28" s="80">
        <v>38519</v>
      </c>
      <c r="D28" s="30"/>
      <c r="E28" s="31" t="s">
        <v>59</v>
      </c>
      <c r="F28" s="242">
        <v>3</v>
      </c>
      <c r="G28" s="243">
        <v>1</v>
      </c>
      <c r="H28" s="162" t="s">
        <v>57</v>
      </c>
      <c r="I28" s="116">
        <f>IF('The Results'!F28&lt;&gt;"",SUM(AN28:AQ28),"")</f>
      </c>
      <c r="J28" s="35"/>
      <c r="K28" s="27" t="str">
        <f>VLOOKUP(BF28,BD25:BE28,2,FALSE)</f>
        <v>Angola</v>
      </c>
      <c r="L28" s="2">
        <f>VLOOKUP(K28,AR25:AZ28,2,FALSE)</f>
        <v>3</v>
      </c>
      <c r="M28" s="2">
        <f>VLOOKUP(K28,AR25:AZ28,3,FALSE)</f>
        <v>0</v>
      </c>
      <c r="N28" s="2">
        <f>VLOOKUP(K28,AR25:AZ28,4,FALSE)</f>
        <v>0</v>
      </c>
      <c r="O28" s="2">
        <f>VLOOKUP(K28,AR25:AZ28,5,FALSE)</f>
        <v>3</v>
      </c>
      <c r="P28" s="2">
        <f>VLOOKUP(K28,AR25:AZ28,6,FALSE)</f>
        <v>2</v>
      </c>
      <c r="Q28" s="2">
        <f>VLOOKUP(K28,AR25:AZ28,7,FALSE)</f>
        <v>8</v>
      </c>
      <c r="R28" s="2">
        <f>VLOOKUP(K28,AR25:AZ28,8,FALSE)</f>
        <v>-6</v>
      </c>
      <c r="S28" s="2">
        <f>VLOOKUP(K28,AR25:AZ28,9,FALSE)</f>
        <v>0</v>
      </c>
      <c r="T28" s="84">
        <f>IF('The Results'!L28&gt;0,IF(K28='The Results'!K28,3,0),"")</f>
      </c>
      <c r="U28" s="84"/>
      <c r="V28" s="40"/>
      <c r="W28" s="11"/>
      <c r="X28" s="111"/>
      <c r="Y28" s="113"/>
      <c r="Z28" s="32"/>
      <c r="AB28" s="112">
        <v>22</v>
      </c>
      <c r="AC28" s="138">
        <f>SUM($F$7:G28)</f>
        <v>69</v>
      </c>
      <c r="AD28" s="138">
        <f>IF(F28="","",ABS(AC28-'The Results'!AC28))</f>
        <v>69</v>
      </c>
      <c r="AE28" s="138"/>
      <c r="AF28" s="110" t="str">
        <f t="shared" si="0"/>
        <v>Holland</v>
      </c>
      <c r="AG28" s="138">
        <f t="shared" si="1"/>
        <v>3</v>
      </c>
      <c r="AH28" s="138">
        <f t="shared" si="2"/>
        <v>1</v>
      </c>
      <c r="AI28" s="138" t="str">
        <f t="shared" si="3"/>
        <v>Ivory Coast</v>
      </c>
      <c r="AJ28" s="138"/>
      <c r="AK28" s="138" t="str">
        <f t="shared" si="4"/>
        <v>Holland</v>
      </c>
      <c r="AL28" s="110" t="str">
        <f t="shared" si="5"/>
        <v>Ivory Coast</v>
      </c>
      <c r="AM28" s="138"/>
      <c r="AN28" s="139">
        <f>IF(AK28='The Results'!AK28,2,0)</f>
        <v>0</v>
      </c>
      <c r="AO28" s="139">
        <f>IF(AG28='The Results'!AG28,1,0)</f>
        <v>0</v>
      </c>
      <c r="AP28" s="139">
        <f>IF(AH28='The Results'!AH28,1,0)</f>
        <v>0</v>
      </c>
      <c r="AQ28" s="139">
        <f t="shared" si="7"/>
        <v>0</v>
      </c>
      <c r="AR28" s="140" t="s">
        <v>18</v>
      </c>
      <c r="AS28" s="110">
        <f>COUNTIF($AF$7:$AI$54,AR28)</f>
        <v>3</v>
      </c>
      <c r="AT28" s="108">
        <f>COUNTIF(winners,AR28)</f>
        <v>2</v>
      </c>
      <c r="AU28" s="108">
        <f>AS28-(AT28+AV28)</f>
        <v>1</v>
      </c>
      <c r="AV28" s="108">
        <f>COUNTIF(losers,AR28)</f>
        <v>0</v>
      </c>
      <c r="AW28" s="108">
        <f>SUM(PorF)</f>
        <v>9</v>
      </c>
      <c r="AX28" s="108">
        <f>SUM(PorA)</f>
        <v>5</v>
      </c>
      <c r="AY28" s="108">
        <f>SUM(AW28-AX28)</f>
        <v>4</v>
      </c>
      <c r="AZ28" s="108">
        <f>SUM((AT28*3)+AU28)</f>
        <v>7</v>
      </c>
      <c r="BA28" s="108">
        <v>16</v>
      </c>
      <c r="BB28" s="108">
        <f>CODE(MID(AR28,2,1))</f>
        <v>111</v>
      </c>
      <c r="BC28" s="108">
        <f>CODE(AR28)</f>
        <v>80</v>
      </c>
      <c r="BD28" s="110">
        <f>SUM((AZ28*100)+(AY28*10)+(AW28)-(BC28/1000)-(BB28/10000)-(BA28/100000))</f>
        <v>748.9087399999999</v>
      </c>
      <c r="BE28" s="108" t="str">
        <f>AR28</f>
        <v>Portugal</v>
      </c>
      <c r="BF28" s="141">
        <f>LARGE(BD25:BD28,4)</f>
        <v>-58.07615</v>
      </c>
      <c r="BG28" s="110"/>
      <c r="BH28" s="110"/>
      <c r="BI28" s="110"/>
      <c r="BJ28" s="110"/>
      <c r="BK28" s="110"/>
      <c r="BL28" s="110"/>
      <c r="BM28" s="110"/>
      <c r="BN28" s="110"/>
      <c r="BO28" s="110"/>
      <c r="BP28" s="110"/>
      <c r="BQ28" s="108"/>
      <c r="BR28" s="110">
        <f>IF(SUM(BH25:BH28)=12,BG26,"")</f>
      </c>
      <c r="BS28" s="108"/>
      <c r="BT28" s="32"/>
      <c r="BU28" s="32"/>
    </row>
    <row r="29" spans="1:73" ht="15" customHeight="1" thickBot="1">
      <c r="A29" s="51"/>
      <c r="B29" s="170" t="s">
        <v>73</v>
      </c>
      <c r="C29" s="80">
        <v>38519</v>
      </c>
      <c r="D29" s="30"/>
      <c r="E29" s="31" t="s">
        <v>60</v>
      </c>
      <c r="F29" s="242">
        <v>2</v>
      </c>
      <c r="G29" s="243">
        <v>1</v>
      </c>
      <c r="H29" s="162" t="s">
        <v>62</v>
      </c>
      <c r="I29" s="116">
        <f>IF('The Results'!F29&lt;&gt;"",SUM(AN29:AQ29),"")</f>
      </c>
      <c r="J29" s="34"/>
      <c r="K29" s="5"/>
      <c r="L29" s="4"/>
      <c r="M29" s="4"/>
      <c r="N29" s="4"/>
      <c r="O29" s="4"/>
      <c r="P29" s="4"/>
      <c r="Q29" s="4"/>
      <c r="R29" s="4"/>
      <c r="S29" s="4"/>
      <c r="T29" s="6"/>
      <c r="U29" s="6"/>
      <c r="V29" s="43"/>
      <c r="W29" s="11"/>
      <c r="X29" s="111"/>
      <c r="Y29" s="113"/>
      <c r="Z29" s="32"/>
      <c r="AB29" s="112">
        <v>23</v>
      </c>
      <c r="AC29" s="138">
        <f>SUM($F$7:G29)</f>
        <v>72</v>
      </c>
      <c r="AD29" s="138">
        <f>IF(F29="","",ABS(AC29-'The Results'!AC29))</f>
        <v>72</v>
      </c>
      <c r="AE29" s="138"/>
      <c r="AF29" s="110" t="str">
        <f t="shared" si="0"/>
        <v>Mexico</v>
      </c>
      <c r="AG29" s="138">
        <f t="shared" si="1"/>
        <v>2</v>
      </c>
      <c r="AH29" s="138">
        <f t="shared" si="2"/>
        <v>1</v>
      </c>
      <c r="AI29" s="138" t="str">
        <f t="shared" si="3"/>
        <v>Angola</v>
      </c>
      <c r="AJ29" s="138"/>
      <c r="AK29" s="138" t="str">
        <f t="shared" si="4"/>
        <v>Mexico</v>
      </c>
      <c r="AL29" s="110" t="str">
        <f t="shared" si="5"/>
        <v>Angola</v>
      </c>
      <c r="AM29" s="138"/>
      <c r="AN29" s="139">
        <f>IF(AK29='The Results'!AK29,2,0)</f>
        <v>0</v>
      </c>
      <c r="AO29" s="139">
        <f>IF(AG29='The Results'!AG29,1,0)</f>
        <v>0</v>
      </c>
      <c r="AP29" s="139">
        <f>IF(AH29='The Results'!AH29,1,0)</f>
        <v>0</v>
      </c>
      <c r="AQ29" s="139">
        <f t="shared" si="7"/>
        <v>0</v>
      </c>
      <c r="AR29" s="108"/>
      <c r="AS29" s="110"/>
      <c r="AT29" s="108"/>
      <c r="AU29" s="108"/>
      <c r="AV29" s="108"/>
      <c r="AW29" s="108"/>
      <c r="AX29" s="108"/>
      <c r="AY29" s="108"/>
      <c r="AZ29" s="108"/>
      <c r="BA29" s="108"/>
      <c r="BB29" s="108"/>
      <c r="BC29" s="108"/>
      <c r="BD29" s="110"/>
      <c r="BE29" s="108"/>
      <c r="BF29" s="136"/>
      <c r="BG29" s="108"/>
      <c r="BH29" s="108"/>
      <c r="BI29" s="108"/>
      <c r="BJ29" s="108"/>
      <c r="BK29" s="108"/>
      <c r="BL29" s="108"/>
      <c r="BM29" s="108"/>
      <c r="BN29" s="108"/>
      <c r="BO29" s="108"/>
      <c r="BP29" s="110"/>
      <c r="BQ29" s="108"/>
      <c r="BR29" s="110"/>
      <c r="BS29" s="108"/>
      <c r="BT29" s="32"/>
      <c r="BU29" s="32"/>
    </row>
    <row r="30" spans="1:73" ht="15" customHeight="1" thickBot="1">
      <c r="A30" s="51"/>
      <c r="B30" s="170" t="s">
        <v>74</v>
      </c>
      <c r="C30" s="80">
        <v>38520</v>
      </c>
      <c r="D30" s="30"/>
      <c r="E30" s="31" t="s">
        <v>18</v>
      </c>
      <c r="F30" s="242">
        <v>2</v>
      </c>
      <c r="G30" s="243">
        <v>2</v>
      </c>
      <c r="H30" s="162" t="s">
        <v>61</v>
      </c>
      <c r="I30" s="116">
        <f>IF('The Results'!F30&lt;&gt;"",SUM(AN30:AQ30),"")</f>
      </c>
      <c r="J30" s="35"/>
      <c r="K30" s="76" t="s">
        <v>81</v>
      </c>
      <c r="L30" s="87" t="s">
        <v>7</v>
      </c>
      <c r="M30" s="87" t="s">
        <v>8</v>
      </c>
      <c r="N30" s="87" t="s">
        <v>9</v>
      </c>
      <c r="O30" s="87" t="s">
        <v>10</v>
      </c>
      <c r="P30" s="87" t="s">
        <v>11</v>
      </c>
      <c r="Q30" s="87" t="s">
        <v>12</v>
      </c>
      <c r="R30" s="87" t="s">
        <v>13</v>
      </c>
      <c r="S30" s="87" t="s">
        <v>14</v>
      </c>
      <c r="T30" s="10"/>
      <c r="U30" s="10"/>
      <c r="V30" s="40"/>
      <c r="W30" s="41"/>
      <c r="X30" s="142"/>
      <c r="Y30" s="113"/>
      <c r="Z30" s="32"/>
      <c r="AB30" s="112">
        <v>24</v>
      </c>
      <c r="AC30" s="138">
        <f>SUM($F$7:G30)</f>
        <v>76</v>
      </c>
      <c r="AD30" s="138">
        <f>IF(F30="","",ABS(AC30-'The Results'!AC30))</f>
        <v>76</v>
      </c>
      <c r="AE30" s="138"/>
      <c r="AF30" s="110" t="str">
        <f t="shared" si="0"/>
        <v>Portugal</v>
      </c>
      <c r="AG30" s="138">
        <f t="shared" si="1"/>
        <v>2</v>
      </c>
      <c r="AH30" s="138">
        <f t="shared" si="2"/>
        <v>2</v>
      </c>
      <c r="AI30" s="138" t="str">
        <f t="shared" si="3"/>
        <v>Iran</v>
      </c>
      <c r="AJ30" s="138"/>
      <c r="AK30" s="138" t="str">
        <f t="shared" si="4"/>
        <v>draw</v>
      </c>
      <c r="AL30" s="110" t="str">
        <f t="shared" si="5"/>
        <v>draw</v>
      </c>
      <c r="AM30" s="138"/>
      <c r="AN30" s="139">
        <f>IF(AK30='The Results'!AK30,2,0)</f>
        <v>2</v>
      </c>
      <c r="AO30" s="139">
        <f>IF(AG30='The Results'!AG30,1,0)</f>
        <v>0</v>
      </c>
      <c r="AP30" s="139">
        <f>IF(AH30='The Results'!AH30,1,0)</f>
        <v>0</v>
      </c>
      <c r="AQ30" s="139">
        <f t="shared" si="7"/>
        <v>0</v>
      </c>
      <c r="AR30" s="143" t="s">
        <v>81</v>
      </c>
      <c r="AS30" s="108" t="s">
        <v>7</v>
      </c>
      <c r="AT30" s="108" t="s">
        <v>8</v>
      </c>
      <c r="AU30" s="108" t="s">
        <v>9</v>
      </c>
      <c r="AV30" s="108" t="s">
        <v>10</v>
      </c>
      <c r="AW30" s="108" t="s">
        <v>11</v>
      </c>
      <c r="AX30" s="108" t="s">
        <v>12</v>
      </c>
      <c r="AY30" s="108" t="s">
        <v>17</v>
      </c>
      <c r="AZ30" s="108" t="s">
        <v>14</v>
      </c>
      <c r="BA30" s="108"/>
      <c r="BB30" s="108"/>
      <c r="BC30" s="108"/>
      <c r="BD30" s="110"/>
      <c r="BE30" s="108"/>
      <c r="BF30" s="136"/>
      <c r="BG30" s="108"/>
      <c r="BH30" s="108"/>
      <c r="BI30" s="108"/>
      <c r="BJ30" s="108"/>
      <c r="BK30" s="108"/>
      <c r="BL30" s="108"/>
      <c r="BM30" s="108"/>
      <c r="BN30" s="108"/>
      <c r="BO30" s="108"/>
      <c r="BP30" s="110"/>
      <c r="BQ30" s="108"/>
      <c r="BR30" s="110"/>
      <c r="BS30" s="108"/>
      <c r="BT30" s="32"/>
      <c r="BU30" s="32"/>
    </row>
    <row r="31" spans="1:73" ht="16.5" thickBot="1">
      <c r="A31" s="51"/>
      <c r="B31" s="170" t="s">
        <v>74</v>
      </c>
      <c r="C31" s="80">
        <v>38520</v>
      </c>
      <c r="D31" s="30"/>
      <c r="E31" s="31" t="s">
        <v>24</v>
      </c>
      <c r="F31" s="242">
        <v>1</v>
      </c>
      <c r="G31" s="243">
        <v>1</v>
      </c>
      <c r="H31" s="162" t="s">
        <v>64</v>
      </c>
      <c r="I31" s="116">
        <f>IF('The Results'!F31&lt;&gt;"",SUM(AN31:AQ31),"")</f>
      </c>
      <c r="J31" s="36"/>
      <c r="K31" s="27" t="str">
        <f>VLOOKUP(BF31,BD31:BE34,2,FALSE)</f>
        <v>USA</v>
      </c>
      <c r="L31" s="2">
        <f>VLOOKUP(K31,AR31:AZ34,2,FALSE)</f>
        <v>3</v>
      </c>
      <c r="M31" s="2">
        <f>VLOOKUP(K31,AR31:AZ34,3,FALSE)</f>
        <v>1</v>
      </c>
      <c r="N31" s="2">
        <f>VLOOKUP(K31,AR31:AZ34,4,FALSE)</f>
        <v>2</v>
      </c>
      <c r="O31" s="2">
        <f>VLOOKUP(K31,AR31:AZ34,5,FALSE)</f>
        <v>0</v>
      </c>
      <c r="P31" s="2">
        <f>VLOOKUP(K31,AR31:AZ34,6,FALSE)</f>
        <v>7</v>
      </c>
      <c r="Q31" s="2">
        <f>VLOOKUP(K31,AR31:AZ34,7,FALSE)</f>
        <v>4</v>
      </c>
      <c r="R31" s="2">
        <f>VLOOKUP(K31,AR31:AZ34,8,FALSE)</f>
        <v>3</v>
      </c>
      <c r="S31" s="2">
        <f>VLOOKUP(K31,AR31:AZ34,9,FALSE)</f>
        <v>5</v>
      </c>
      <c r="T31" s="84">
        <f>IF('The Results'!L31&gt;0,IF(K31='The Results'!K31,3,0),"")</f>
      </c>
      <c r="U31" s="10"/>
      <c r="V31" s="103"/>
      <c r="W31" s="11"/>
      <c r="X31" s="111"/>
      <c r="Y31" s="113"/>
      <c r="Z31" s="32"/>
      <c r="AA31" s="110"/>
      <c r="AB31" s="112">
        <v>25</v>
      </c>
      <c r="AC31" s="138">
        <f>SUM($F$7:G31)</f>
        <v>78</v>
      </c>
      <c r="AD31" s="138">
        <f>IF(F31="","",ABS(AC31-'The Results'!AC31))</f>
        <v>78</v>
      </c>
      <c r="AE31" s="138"/>
      <c r="AF31" s="110" t="str">
        <f t="shared" si="0"/>
        <v>Italy</v>
      </c>
      <c r="AG31" s="138">
        <f t="shared" si="1"/>
        <v>1</v>
      </c>
      <c r="AH31" s="138">
        <f t="shared" si="2"/>
        <v>1</v>
      </c>
      <c r="AI31" s="138" t="str">
        <f t="shared" si="3"/>
        <v>USA</v>
      </c>
      <c r="AJ31" s="138"/>
      <c r="AK31" s="138" t="str">
        <f t="shared" si="4"/>
        <v>draw</v>
      </c>
      <c r="AL31" s="110" t="str">
        <f t="shared" si="5"/>
        <v>draw</v>
      </c>
      <c r="AM31" s="138"/>
      <c r="AN31" s="139">
        <f>IF(AK31='The Results'!AK31,2,0)</f>
        <v>2</v>
      </c>
      <c r="AO31" s="139">
        <f>IF(AG31='The Results'!AG31,1,0)</f>
        <v>0</v>
      </c>
      <c r="AP31" s="139">
        <f>IF(AH31='The Results'!AH31,1,0)</f>
        <v>0</v>
      </c>
      <c r="AQ31" s="139">
        <f t="shared" si="7"/>
        <v>0</v>
      </c>
      <c r="AR31" s="108" t="s">
        <v>24</v>
      </c>
      <c r="AS31" s="110">
        <f>COUNTIF($AF$7:$AI$54,AR31)</f>
        <v>3</v>
      </c>
      <c r="AT31" s="108">
        <f>COUNTIF(winners,AR31)</f>
        <v>1</v>
      </c>
      <c r="AU31" s="108">
        <f>AS31-(AT31+AV31)</f>
        <v>2</v>
      </c>
      <c r="AV31" s="108">
        <f>COUNTIF(losers,AR31)</f>
        <v>0</v>
      </c>
      <c r="AW31" s="108">
        <f>SUM(ItaF)</f>
        <v>3</v>
      </c>
      <c r="AX31" s="108">
        <f>SUM(ItaA)</f>
        <v>2</v>
      </c>
      <c r="AY31" s="108">
        <f>SUM(AW31-AX31)</f>
        <v>1</v>
      </c>
      <c r="AZ31" s="108">
        <f>SUM((AT31*3)+AU31)</f>
        <v>5</v>
      </c>
      <c r="BA31" s="108">
        <v>17</v>
      </c>
      <c r="BB31" s="108">
        <f>CODE(MID(AR31,2,1))</f>
        <v>116</v>
      </c>
      <c r="BC31" s="108">
        <f>CODE(AR31)</f>
        <v>73</v>
      </c>
      <c r="BD31" s="110">
        <f>SUM((AZ31*100)+(AY31*10)+(AW31)-(BC31/1000)-(BB31/10000)-(BA31/100000))</f>
        <v>512.91523</v>
      </c>
      <c r="BE31" s="108" t="str">
        <f>AR31</f>
        <v>Italy</v>
      </c>
      <c r="BF31" s="141">
        <f>LARGE(BD31:BD34,1)</f>
        <v>536.90651</v>
      </c>
      <c r="BG31" s="110"/>
      <c r="BH31" s="110"/>
      <c r="BI31" s="110"/>
      <c r="BJ31" s="110"/>
      <c r="BK31" s="110"/>
      <c r="BL31" s="110"/>
      <c r="BM31" s="110"/>
      <c r="BN31" s="110"/>
      <c r="BO31" s="110"/>
      <c r="BP31" s="108"/>
      <c r="BQ31" s="108"/>
      <c r="BR31" s="108"/>
      <c r="BS31" s="108"/>
      <c r="BT31" s="32"/>
      <c r="BU31" s="32"/>
    </row>
    <row r="32" spans="1:73" ht="16.5" thickBot="1">
      <c r="A32" s="51"/>
      <c r="B32" s="170" t="s">
        <v>74</v>
      </c>
      <c r="C32" s="80">
        <v>38520</v>
      </c>
      <c r="D32" s="30"/>
      <c r="E32" s="31" t="s">
        <v>27</v>
      </c>
      <c r="F32" s="242">
        <v>2</v>
      </c>
      <c r="G32" s="243">
        <v>1</v>
      </c>
      <c r="H32" s="162" t="s">
        <v>63</v>
      </c>
      <c r="I32" s="116">
        <f>IF('The Results'!F32&lt;&gt;"",SUM(AN32:AQ32),"")</f>
      </c>
      <c r="J32" s="36"/>
      <c r="K32" s="27" t="str">
        <f>VLOOKUP(BF32,BD31:BE34,2,FALSE)</f>
        <v>Czech Republic</v>
      </c>
      <c r="L32" s="2">
        <f>VLOOKUP(K32,AR31:AZ34,2,FALSE)</f>
        <v>3</v>
      </c>
      <c r="M32" s="2">
        <f>VLOOKUP(K32,AR31:AZ34,3,FALSE)</f>
        <v>1</v>
      </c>
      <c r="N32" s="2">
        <f>VLOOKUP(K32,AR31:AZ34,4,FALSE)</f>
        <v>2</v>
      </c>
      <c r="O32" s="2">
        <f>VLOOKUP(K32,AR31:AZ34,5,FALSE)</f>
        <v>0</v>
      </c>
      <c r="P32" s="2">
        <f>VLOOKUP(K32,AR31:AZ34,6,FALSE)</f>
        <v>5</v>
      </c>
      <c r="Q32" s="2">
        <f>VLOOKUP(K32,AR31:AZ34,7,FALSE)</f>
        <v>4</v>
      </c>
      <c r="R32" s="2">
        <f>VLOOKUP(K32,AR31:AZ34,8,FALSE)</f>
        <v>1</v>
      </c>
      <c r="S32" s="2">
        <f>VLOOKUP(K32,AR31:AZ34,9,FALSE)</f>
        <v>5</v>
      </c>
      <c r="T32" s="84">
        <f>IF('The Results'!L32&gt;0,IF(K32='The Results'!K32,3,0),"")</f>
      </c>
      <c r="U32" s="10"/>
      <c r="V32" s="44" t="s">
        <v>30</v>
      </c>
      <c r="W32" s="11"/>
      <c r="X32" s="111"/>
      <c r="Y32" s="113"/>
      <c r="Z32" s="32"/>
      <c r="AA32" s="110"/>
      <c r="AB32" s="112">
        <v>26</v>
      </c>
      <c r="AC32" s="138">
        <f>SUM($F$7:G32)</f>
        <v>81</v>
      </c>
      <c r="AD32" s="138">
        <f>IF(F32="","",ABS(AC32-'The Results'!AC32))</f>
        <v>81</v>
      </c>
      <c r="AE32" s="138"/>
      <c r="AF32" s="110" t="str">
        <f t="shared" si="0"/>
        <v>Czech Republic</v>
      </c>
      <c r="AG32" s="138">
        <f t="shared" si="1"/>
        <v>2</v>
      </c>
      <c r="AH32" s="138">
        <f t="shared" si="2"/>
        <v>1</v>
      </c>
      <c r="AI32" s="138" t="str">
        <f t="shared" si="3"/>
        <v>Ghana</v>
      </c>
      <c r="AJ32" s="138"/>
      <c r="AK32" s="138" t="str">
        <f t="shared" si="4"/>
        <v>Czech Republic</v>
      </c>
      <c r="AL32" s="110" t="str">
        <f t="shared" si="5"/>
        <v>Ghana</v>
      </c>
      <c r="AM32" s="138"/>
      <c r="AN32" s="139">
        <f>IF(AK32='The Results'!AK32,2,0)</f>
        <v>0</v>
      </c>
      <c r="AO32" s="139">
        <f>IF(AG32='The Results'!AG32,1,0)</f>
        <v>0</v>
      </c>
      <c r="AP32" s="139">
        <f>IF(AH32='The Results'!AH32,1,0)</f>
        <v>0</v>
      </c>
      <c r="AQ32" s="139">
        <f t="shared" si="7"/>
        <v>0</v>
      </c>
      <c r="AR32" s="108" t="s">
        <v>63</v>
      </c>
      <c r="AS32" s="110">
        <f>COUNTIF($AF$7:$AI$54,AR32)</f>
        <v>3</v>
      </c>
      <c r="AT32" s="108">
        <f>COUNTIF(winners,AR32)</f>
        <v>0</v>
      </c>
      <c r="AU32" s="108">
        <f>AS32-(AT32+AV32)</f>
        <v>0</v>
      </c>
      <c r="AV32" s="108">
        <f>COUNTIF(losers,AR32)</f>
        <v>3</v>
      </c>
      <c r="AW32" s="108">
        <f>SUM(GhaF)</f>
        <v>2</v>
      </c>
      <c r="AX32" s="108">
        <f>SUM(GhaA)</f>
        <v>7</v>
      </c>
      <c r="AY32" s="108">
        <f>SUM(AW32-AX32)</f>
        <v>-5</v>
      </c>
      <c r="AZ32" s="108">
        <f>SUM((AT32*3)+AU32)</f>
        <v>0</v>
      </c>
      <c r="BA32" s="108">
        <v>18</v>
      </c>
      <c r="BB32" s="108">
        <f>CODE(MID(AR32,2,1))</f>
        <v>104</v>
      </c>
      <c r="BC32" s="108">
        <f>CODE(AR32)</f>
        <v>71</v>
      </c>
      <c r="BD32" s="110">
        <f>SUM((AZ32*100)+(AY32*10)+(AW32)-(BC32/1000)-(BB32/10000)-(BA32/100000))</f>
        <v>-48.081579999999995</v>
      </c>
      <c r="BE32" s="108" t="str">
        <f>AR32</f>
        <v>Ghana</v>
      </c>
      <c r="BF32" s="141">
        <f>LARGE(BD31:BD34,2)</f>
        <v>514.9206</v>
      </c>
      <c r="BG32" s="110"/>
      <c r="BH32" s="110"/>
      <c r="BI32" s="110"/>
      <c r="BJ32" s="110"/>
      <c r="BK32" s="110"/>
      <c r="BL32" s="110"/>
      <c r="BM32" s="110"/>
      <c r="BN32" s="110"/>
      <c r="BO32" s="110"/>
      <c r="BP32" s="108"/>
      <c r="BQ32" s="108"/>
      <c r="BR32" s="108"/>
      <c r="BS32" s="108"/>
      <c r="BT32" s="32"/>
      <c r="BU32" s="32"/>
    </row>
    <row r="33" spans="1:73" ht="16.5" thickBot="1">
      <c r="A33" s="51"/>
      <c r="B33" s="171" t="s">
        <v>75</v>
      </c>
      <c r="C33" s="80">
        <v>38521</v>
      </c>
      <c r="D33" s="30"/>
      <c r="E33" s="31" t="s">
        <v>83</v>
      </c>
      <c r="F33" s="242">
        <v>4</v>
      </c>
      <c r="G33" s="243">
        <v>1</v>
      </c>
      <c r="H33" s="163" t="s">
        <v>65</v>
      </c>
      <c r="I33" s="116">
        <f>IF('The Results'!F33&lt;&gt;"",SUM(AN33:AQ33),"")</f>
      </c>
      <c r="J33" s="36"/>
      <c r="K33" s="27" t="str">
        <f>VLOOKUP(BF33,BD31:BE34,2,FALSE)</f>
        <v>Italy</v>
      </c>
      <c r="L33" s="2">
        <f>VLOOKUP(K33,AR31:AZ34,2,FALSE)</f>
        <v>3</v>
      </c>
      <c r="M33" s="2">
        <f>VLOOKUP(K33,AR31:AZ34,3,FALSE)</f>
        <v>1</v>
      </c>
      <c r="N33" s="2">
        <f>VLOOKUP(K33,AR31:AZ34,4,FALSE)</f>
        <v>2</v>
      </c>
      <c r="O33" s="2">
        <f>VLOOKUP(K33,AR31:AZ34,5,FALSE)</f>
        <v>0</v>
      </c>
      <c r="P33" s="2">
        <f>VLOOKUP(K33,AR31:AZ34,6,FALSE)</f>
        <v>3</v>
      </c>
      <c r="Q33" s="2">
        <f>VLOOKUP(K33,AR31:AZ34,7,FALSE)</f>
        <v>2</v>
      </c>
      <c r="R33" s="2">
        <f>VLOOKUP(K33,AR31:AZ34,8,FALSE)</f>
        <v>1</v>
      </c>
      <c r="S33" s="2">
        <f>VLOOKUP(K33,AR31:AZ34,9,FALSE)</f>
        <v>5</v>
      </c>
      <c r="T33" s="84">
        <f>IF('The Results'!L33&gt;0,IF(K33='The Results'!K33,3,0),"")</f>
      </c>
      <c r="U33" s="10"/>
      <c r="V33" s="44" t="s">
        <v>31</v>
      </c>
      <c r="W33" s="11"/>
      <c r="X33" s="111"/>
      <c r="Y33" s="113"/>
      <c r="Z33" s="32"/>
      <c r="AA33" s="110"/>
      <c r="AB33" s="112">
        <v>27</v>
      </c>
      <c r="AC33" s="138">
        <f>SUM($F$7:G33)</f>
        <v>86</v>
      </c>
      <c r="AD33" s="138">
        <f>IF(F33="","",ABS(AC33-'The Results'!AC33))</f>
        <v>86</v>
      </c>
      <c r="AE33" s="138"/>
      <c r="AF33" s="110" t="str">
        <f t="shared" si="0"/>
        <v>Brazil</v>
      </c>
      <c r="AG33" s="138">
        <f t="shared" si="1"/>
        <v>4</v>
      </c>
      <c r="AH33" s="138">
        <f t="shared" si="2"/>
        <v>1</v>
      </c>
      <c r="AI33" s="138" t="str">
        <f t="shared" si="3"/>
        <v>Australia</v>
      </c>
      <c r="AJ33" s="138"/>
      <c r="AK33" s="138" t="str">
        <f t="shared" si="4"/>
        <v>Brazil</v>
      </c>
      <c r="AL33" s="110" t="str">
        <f t="shared" si="5"/>
        <v>Australia</v>
      </c>
      <c r="AM33" s="138"/>
      <c r="AN33" s="139">
        <f>IF(AK33='The Results'!AK33,2,0)</f>
        <v>0</v>
      </c>
      <c r="AO33" s="139">
        <f>IF(AG33='The Results'!AG33,1,0)</f>
        <v>0</v>
      </c>
      <c r="AP33" s="139">
        <f>IF(AH33='The Results'!AH33,1,0)</f>
        <v>0</v>
      </c>
      <c r="AQ33" s="139">
        <f t="shared" si="7"/>
        <v>0</v>
      </c>
      <c r="AR33" s="108" t="s">
        <v>64</v>
      </c>
      <c r="AS33" s="110">
        <f>COUNTIF($AF$7:$AI$54,AR33)</f>
        <v>3</v>
      </c>
      <c r="AT33" s="108">
        <f>COUNTIF(winners,AR33)</f>
        <v>1</v>
      </c>
      <c r="AU33" s="108">
        <f>AS33-(AT33+AV33)</f>
        <v>2</v>
      </c>
      <c r="AV33" s="108">
        <f>COUNTIF(losers,AR33)</f>
        <v>0</v>
      </c>
      <c r="AW33" s="108">
        <f>SUM(USAF)</f>
        <v>7</v>
      </c>
      <c r="AX33" s="108">
        <f>SUM(USAA)</f>
        <v>4</v>
      </c>
      <c r="AY33" s="108">
        <f>SUM(AW33-AX33)</f>
        <v>3</v>
      </c>
      <c r="AZ33" s="108">
        <f>SUM((AT33*3)+AU33)</f>
        <v>5</v>
      </c>
      <c r="BA33" s="108">
        <v>19</v>
      </c>
      <c r="BB33" s="108">
        <f>CODE(MID(AR33,2,1))</f>
        <v>83</v>
      </c>
      <c r="BC33" s="108">
        <f>CODE(AR33)</f>
        <v>85</v>
      </c>
      <c r="BD33" s="110">
        <f>SUM((AZ33*100)+(AY33*10)+(AW33)-(BC33/1000)-(BB33/10000)-(BA33/100000))</f>
        <v>536.90651</v>
      </c>
      <c r="BE33" s="108" t="str">
        <f>AR33</f>
        <v>USA</v>
      </c>
      <c r="BF33" s="141">
        <f>LARGE(BD31:BD34,3)</f>
        <v>512.91523</v>
      </c>
      <c r="BG33" s="110"/>
      <c r="BH33" s="110"/>
      <c r="BI33" s="110"/>
      <c r="BJ33" s="110"/>
      <c r="BK33" s="110"/>
      <c r="BL33" s="110"/>
      <c r="BM33" s="110"/>
      <c r="BN33" s="110"/>
      <c r="BO33" s="110"/>
      <c r="BP33" s="108"/>
      <c r="BQ33" s="108"/>
      <c r="BR33" s="108"/>
      <c r="BS33" s="108"/>
      <c r="BT33" s="32"/>
      <c r="BU33" s="32"/>
    </row>
    <row r="34" spans="1:73" ht="16.5" thickBot="1">
      <c r="A34" s="51"/>
      <c r="B34" s="171" t="s">
        <v>75</v>
      </c>
      <c r="C34" s="80">
        <v>38521</v>
      </c>
      <c r="D34" s="30"/>
      <c r="E34" s="31" t="s">
        <v>66</v>
      </c>
      <c r="F34" s="242">
        <v>1</v>
      </c>
      <c r="G34" s="243">
        <v>3</v>
      </c>
      <c r="H34" s="162" t="s">
        <v>21</v>
      </c>
      <c r="I34" s="116">
        <f>IF('The Results'!F34&lt;&gt;"",SUM(AN34:AQ34),"")</f>
      </c>
      <c r="J34" s="36"/>
      <c r="K34" s="27" t="str">
        <f>VLOOKUP(BF34,BD31:BE34,2,FALSE)</f>
        <v>Ghana</v>
      </c>
      <c r="L34" s="2">
        <f>VLOOKUP(K34,AR31:AZ34,2,FALSE)</f>
        <v>3</v>
      </c>
      <c r="M34" s="2">
        <f>VLOOKUP(K34,AR31:AZ34,3,FALSE)</f>
        <v>0</v>
      </c>
      <c r="N34" s="2">
        <f>VLOOKUP(K34,AR31:AZ34,4,FALSE)</f>
        <v>0</v>
      </c>
      <c r="O34" s="2">
        <f>VLOOKUP(K34,AR31:AZ34,5,FALSE)</f>
        <v>3</v>
      </c>
      <c r="P34" s="2">
        <f>VLOOKUP(K34,AR31:AZ34,6,FALSE)</f>
        <v>2</v>
      </c>
      <c r="Q34" s="2">
        <f>VLOOKUP(K34,AR31:AZ34,7,FALSE)</f>
        <v>7</v>
      </c>
      <c r="R34" s="2">
        <f>VLOOKUP(K34,AR31:AZ34,8,FALSE)</f>
        <v>-5</v>
      </c>
      <c r="S34" s="2">
        <f>VLOOKUP(K34,AR31:AZ34,9,FALSE)</f>
        <v>0</v>
      </c>
      <c r="T34" s="84">
        <f>IF('The Results'!L34&gt;0,IF(K34='The Results'!K34,3,0),"")</f>
      </c>
      <c r="U34" s="10"/>
      <c r="V34" s="50"/>
      <c r="W34" s="11"/>
      <c r="X34" s="111"/>
      <c r="Y34" s="113"/>
      <c r="Z34" s="32"/>
      <c r="AA34" s="110"/>
      <c r="AB34" s="112">
        <v>28</v>
      </c>
      <c r="AC34" s="138">
        <f>SUM($F$7:G34)</f>
        <v>90</v>
      </c>
      <c r="AD34" s="138">
        <f>IF(F34="","",ABS(AC34-'The Results'!AC34))</f>
        <v>90</v>
      </c>
      <c r="AE34" s="138"/>
      <c r="AF34" s="110" t="str">
        <f t="shared" si="0"/>
        <v>Japan</v>
      </c>
      <c r="AG34" s="138">
        <f t="shared" si="1"/>
        <v>1</v>
      </c>
      <c r="AH34" s="138">
        <f t="shared" si="2"/>
        <v>3</v>
      </c>
      <c r="AI34" s="138" t="str">
        <f t="shared" si="3"/>
        <v>Croatia</v>
      </c>
      <c r="AJ34" s="138"/>
      <c r="AK34" s="138" t="str">
        <f t="shared" si="4"/>
        <v>Croatia</v>
      </c>
      <c r="AL34" s="110" t="str">
        <f t="shared" si="5"/>
        <v>Japan</v>
      </c>
      <c r="AM34" s="138"/>
      <c r="AN34" s="139">
        <f>IF(AK34='The Results'!AK34,2,0)</f>
        <v>0</v>
      </c>
      <c r="AO34" s="139">
        <f>IF(AG34='The Results'!AG34,1,0)</f>
        <v>0</v>
      </c>
      <c r="AP34" s="139">
        <f>IF(AH34='The Results'!AH34,1,0)</f>
        <v>0</v>
      </c>
      <c r="AQ34" s="139">
        <f t="shared" si="7"/>
        <v>0</v>
      </c>
      <c r="AR34" s="108" t="s">
        <v>27</v>
      </c>
      <c r="AS34" s="110">
        <f>COUNTIF($AF$7:$AI$54,AR34)</f>
        <v>3</v>
      </c>
      <c r="AT34" s="108">
        <f>COUNTIF(winners,AR34)</f>
        <v>1</v>
      </c>
      <c r="AU34" s="108">
        <f>AS34-(AT34+AV34)</f>
        <v>2</v>
      </c>
      <c r="AV34" s="108">
        <f>COUNTIF(losers,AR34)</f>
        <v>0</v>
      </c>
      <c r="AW34" s="108">
        <f>SUM(CzeF)</f>
        <v>5</v>
      </c>
      <c r="AX34" s="108">
        <f>SUM(CzeA)</f>
        <v>4</v>
      </c>
      <c r="AY34" s="108">
        <f>SUM(AW34-AX34)</f>
        <v>1</v>
      </c>
      <c r="AZ34" s="108">
        <f>SUM((AT34*3)+AU34)</f>
        <v>5</v>
      </c>
      <c r="BA34" s="108">
        <v>20</v>
      </c>
      <c r="BB34" s="108">
        <f>CODE(MID(AR34,2,1))</f>
        <v>122</v>
      </c>
      <c r="BC34" s="108">
        <f>CODE(AR34)</f>
        <v>67</v>
      </c>
      <c r="BD34" s="110">
        <f>SUM((AZ34*100)+(AY34*10)+(AW34)-(BC34/1000)-(BB34/10000)-(BA34/100000))</f>
        <v>514.9206</v>
      </c>
      <c r="BE34" s="108" t="str">
        <f>AR34</f>
        <v>Czech Republic</v>
      </c>
      <c r="BF34" s="141">
        <f>LARGE(BD31:BD34,4)</f>
        <v>-48.081579999999995</v>
      </c>
      <c r="BG34" s="110"/>
      <c r="BH34" s="110"/>
      <c r="BI34" s="110"/>
      <c r="BJ34" s="110"/>
      <c r="BK34" s="110"/>
      <c r="BL34" s="110"/>
      <c r="BM34" s="110"/>
      <c r="BN34" s="110"/>
      <c r="BO34" s="110"/>
      <c r="BP34" s="108"/>
      <c r="BQ34" s="108"/>
      <c r="BR34" s="108"/>
      <c r="BS34" s="108"/>
      <c r="BT34" s="32"/>
      <c r="BU34" s="32"/>
    </row>
    <row r="35" spans="1:73" ht="16.5" thickBot="1">
      <c r="A35" s="51"/>
      <c r="B35" s="171" t="s">
        <v>75</v>
      </c>
      <c r="C35" s="80">
        <v>38521</v>
      </c>
      <c r="D35" s="30"/>
      <c r="E35" s="31" t="s">
        <v>22</v>
      </c>
      <c r="F35" s="78">
        <v>2</v>
      </c>
      <c r="G35" s="241">
        <v>2</v>
      </c>
      <c r="H35" s="162" t="s">
        <v>67</v>
      </c>
      <c r="I35" s="116">
        <f>IF('The Results'!F35&lt;&gt;"",SUM(AN35:AQ35),"")</f>
      </c>
      <c r="J35" s="36"/>
      <c r="K35" s="54"/>
      <c r="L35" s="4"/>
      <c r="M35" s="4"/>
      <c r="N35" s="4"/>
      <c r="O35" s="4"/>
      <c r="P35" s="4"/>
      <c r="Q35" s="4"/>
      <c r="R35" s="4"/>
      <c r="S35" s="4"/>
      <c r="T35" s="10"/>
      <c r="U35" s="10"/>
      <c r="V35" s="215"/>
      <c r="W35" s="11"/>
      <c r="X35" s="111"/>
      <c r="Y35" s="113"/>
      <c r="Z35" s="32"/>
      <c r="AA35" s="110"/>
      <c r="AB35" s="112">
        <v>29</v>
      </c>
      <c r="AC35" s="138">
        <f>SUM($F$7:G35)</f>
        <v>94</v>
      </c>
      <c r="AD35" s="138">
        <f>IF(F35="","",ABS(AC35-'The Results'!AC35))</f>
        <v>94</v>
      </c>
      <c r="AE35" s="138"/>
      <c r="AF35" s="110" t="str">
        <f t="shared" si="0"/>
        <v>France</v>
      </c>
      <c r="AG35" s="138">
        <f t="shared" si="1"/>
        <v>2</v>
      </c>
      <c r="AH35" s="138">
        <f t="shared" si="2"/>
        <v>2</v>
      </c>
      <c r="AI35" s="138" t="str">
        <f t="shared" si="3"/>
        <v>South Korea</v>
      </c>
      <c r="AJ35" s="138"/>
      <c r="AK35" s="138" t="str">
        <f t="shared" si="4"/>
        <v>draw</v>
      </c>
      <c r="AL35" s="110" t="str">
        <f t="shared" si="5"/>
        <v>draw</v>
      </c>
      <c r="AM35" s="138"/>
      <c r="AN35" s="139">
        <f>IF(AK35='The Results'!AK35,2,0)</f>
        <v>2</v>
      </c>
      <c r="AO35" s="139">
        <f>IF(AG35='The Results'!AG35,1,0)</f>
        <v>0</v>
      </c>
      <c r="AP35" s="139">
        <f>IF(AH35='The Results'!AH35,1,0)</f>
        <v>0</v>
      </c>
      <c r="AQ35" s="139">
        <f t="shared" si="7"/>
        <v>0</v>
      </c>
      <c r="AR35" s="108"/>
      <c r="AS35" s="110"/>
      <c r="AT35" s="108"/>
      <c r="AU35" s="108"/>
      <c r="AV35" s="108"/>
      <c r="AW35" s="108"/>
      <c r="AX35" s="108"/>
      <c r="AY35" s="108"/>
      <c r="AZ35" s="108"/>
      <c r="BA35" s="108"/>
      <c r="BB35" s="108"/>
      <c r="BC35" s="108"/>
      <c r="BD35" s="110"/>
      <c r="BE35" s="108"/>
      <c r="BF35" s="141"/>
      <c r="BG35" s="108"/>
      <c r="BH35" s="108"/>
      <c r="BI35" s="108"/>
      <c r="BJ35" s="108"/>
      <c r="BK35" s="108"/>
      <c r="BL35" s="108"/>
      <c r="BM35" s="108"/>
      <c r="BN35" s="108"/>
      <c r="BO35" s="108"/>
      <c r="BP35" s="108"/>
      <c r="BQ35" s="108"/>
      <c r="BR35" s="108"/>
      <c r="BS35" s="108"/>
      <c r="BT35" s="32"/>
      <c r="BU35" s="32"/>
    </row>
    <row r="36" spans="1:73" ht="16.5" thickBot="1">
      <c r="A36" s="51"/>
      <c r="B36" s="171" t="s">
        <v>76</v>
      </c>
      <c r="C36" s="80">
        <v>38522</v>
      </c>
      <c r="D36" s="30"/>
      <c r="E36" s="31" t="s">
        <v>68</v>
      </c>
      <c r="F36" s="242">
        <v>1</v>
      </c>
      <c r="G36" s="243">
        <v>3</v>
      </c>
      <c r="H36" s="162" t="s">
        <v>20</v>
      </c>
      <c r="I36" s="116">
        <f>IF('The Results'!F36&lt;&gt;"",SUM(AN36:AQ36),"")</f>
      </c>
      <c r="J36" s="36"/>
      <c r="K36" s="76" t="s">
        <v>82</v>
      </c>
      <c r="L36" s="87" t="s">
        <v>7</v>
      </c>
      <c r="M36" s="87" t="s">
        <v>8</v>
      </c>
      <c r="N36" s="87" t="s">
        <v>9</v>
      </c>
      <c r="O36" s="87" t="s">
        <v>10</v>
      </c>
      <c r="P36" s="87" t="s">
        <v>11</v>
      </c>
      <c r="Q36" s="87" t="s">
        <v>12</v>
      </c>
      <c r="R36" s="87" t="s">
        <v>13</v>
      </c>
      <c r="S36" s="87" t="s">
        <v>14</v>
      </c>
      <c r="T36" s="10"/>
      <c r="U36" s="10"/>
      <c r="V36" s="118"/>
      <c r="W36" s="11"/>
      <c r="X36" s="111"/>
      <c r="Y36" s="113"/>
      <c r="Z36" s="32"/>
      <c r="AA36" s="110"/>
      <c r="AB36" s="112">
        <v>30</v>
      </c>
      <c r="AC36" s="138">
        <f>SUM($F$7:G36)</f>
        <v>98</v>
      </c>
      <c r="AD36" s="138">
        <f>IF(F36="","",ABS(AC36-'The Results'!AC36))</f>
        <v>98</v>
      </c>
      <c r="AE36" s="138"/>
      <c r="AF36" s="110" t="str">
        <f t="shared" si="0"/>
        <v>Togo</v>
      </c>
      <c r="AG36" s="138">
        <f t="shared" si="1"/>
        <v>1</v>
      </c>
      <c r="AH36" s="138">
        <f t="shared" si="2"/>
        <v>3</v>
      </c>
      <c r="AI36" s="138" t="str">
        <f t="shared" si="3"/>
        <v>Switzerland</v>
      </c>
      <c r="AJ36" s="138"/>
      <c r="AK36" s="138" t="str">
        <f t="shared" si="4"/>
        <v>Switzerland</v>
      </c>
      <c r="AL36" s="110" t="str">
        <f t="shared" si="5"/>
        <v>Togo</v>
      </c>
      <c r="AM36" s="138"/>
      <c r="AN36" s="139">
        <f>IF(AK36='The Results'!AK36,2,0)</f>
        <v>0</v>
      </c>
      <c r="AO36" s="139">
        <f>IF(AG36='The Results'!AG36,1,0)</f>
        <v>0</v>
      </c>
      <c r="AP36" s="139">
        <f>IF(AH36='The Results'!AH36,1,0)</f>
        <v>0</v>
      </c>
      <c r="AQ36" s="139">
        <f t="shared" si="7"/>
        <v>0</v>
      </c>
      <c r="AR36" s="143" t="s">
        <v>82</v>
      </c>
      <c r="AS36" s="108" t="s">
        <v>7</v>
      </c>
      <c r="AT36" s="108" t="s">
        <v>8</v>
      </c>
      <c r="AU36" s="108" t="s">
        <v>9</v>
      </c>
      <c r="AV36" s="108" t="s">
        <v>10</v>
      </c>
      <c r="AW36" s="108" t="s">
        <v>11</v>
      </c>
      <c r="AX36" s="108" t="s">
        <v>12</v>
      </c>
      <c r="AY36" s="108" t="s">
        <v>17</v>
      </c>
      <c r="AZ36" s="108" t="s">
        <v>14</v>
      </c>
      <c r="BA36" s="108"/>
      <c r="BB36" s="108"/>
      <c r="BC36" s="108"/>
      <c r="BD36" s="110"/>
      <c r="BE36" s="108"/>
      <c r="BF36" s="141"/>
      <c r="BG36" s="108"/>
      <c r="BH36" s="108"/>
      <c r="BI36" s="108"/>
      <c r="BJ36" s="108"/>
      <c r="BK36" s="108"/>
      <c r="BL36" s="108"/>
      <c r="BM36" s="108"/>
      <c r="BN36" s="108"/>
      <c r="BO36" s="108"/>
      <c r="BP36" s="108"/>
      <c r="BQ36" s="108"/>
      <c r="BR36" s="108"/>
      <c r="BS36" s="108"/>
      <c r="BT36" s="32"/>
      <c r="BU36" s="32"/>
    </row>
    <row r="37" spans="1:73" ht="16.5" thickBot="1">
      <c r="A37" s="51"/>
      <c r="B37" s="171" t="s">
        <v>76</v>
      </c>
      <c r="C37" s="80">
        <v>38522</v>
      </c>
      <c r="D37" s="30"/>
      <c r="E37" s="31" t="s">
        <v>19</v>
      </c>
      <c r="F37" s="242">
        <v>2</v>
      </c>
      <c r="G37" s="243">
        <v>2</v>
      </c>
      <c r="H37" s="162" t="s">
        <v>70</v>
      </c>
      <c r="I37" s="116">
        <f>IF('The Results'!F37&lt;&gt;"",SUM(AN37:AQ37),"")</f>
      </c>
      <c r="J37" s="36"/>
      <c r="K37" s="27" t="str">
        <f>VLOOKUP(BF37,BD37:BE40,2,FALSE)</f>
        <v>Brazil</v>
      </c>
      <c r="L37" s="2">
        <f>VLOOKUP(K37,AR37:AZ40,2,FALSE)</f>
        <v>3</v>
      </c>
      <c r="M37" s="2">
        <f>VLOOKUP(K37,AR37:AZ40,3,FALSE)</f>
        <v>2</v>
      </c>
      <c r="N37" s="2">
        <f>VLOOKUP(K37,AR37:AZ40,4,FALSE)</f>
        <v>1</v>
      </c>
      <c r="O37" s="2">
        <f>VLOOKUP(K37,AR37:AZ40,5,FALSE)</f>
        <v>0</v>
      </c>
      <c r="P37" s="2">
        <f>VLOOKUP(K37,AR37:AZ40,6,FALSE)</f>
        <v>8</v>
      </c>
      <c r="Q37" s="2">
        <f>VLOOKUP(K37,AR37:AZ40,7,FALSE)</f>
        <v>4</v>
      </c>
      <c r="R37" s="2">
        <f>VLOOKUP(K37,AR37:AZ40,8,FALSE)</f>
        <v>4</v>
      </c>
      <c r="S37" s="2">
        <f>VLOOKUP(K37,AR37:AZ40,9,FALSE)</f>
        <v>7</v>
      </c>
      <c r="T37" s="84">
        <f>IF('The Results'!L37&gt;0,IF(K37='The Results'!K37,3,0),"")</f>
      </c>
      <c r="U37" s="10"/>
      <c r="V37" s="119"/>
      <c r="W37" s="11"/>
      <c r="X37" s="111"/>
      <c r="Y37" s="113"/>
      <c r="Z37" s="32"/>
      <c r="AA37" s="110"/>
      <c r="AB37" s="112">
        <v>31</v>
      </c>
      <c r="AC37" s="138">
        <f>SUM($F$7:G37)</f>
        <v>102</v>
      </c>
      <c r="AD37" s="138">
        <f>IF(F37="","",ABS(AC37-'The Results'!AC37))</f>
        <v>102</v>
      </c>
      <c r="AE37" s="138"/>
      <c r="AF37" s="110" t="str">
        <f t="shared" si="0"/>
        <v>Spain</v>
      </c>
      <c r="AG37" s="138">
        <f t="shared" si="1"/>
        <v>2</v>
      </c>
      <c r="AH37" s="138">
        <f t="shared" si="2"/>
        <v>2</v>
      </c>
      <c r="AI37" s="138" t="str">
        <f t="shared" si="3"/>
        <v>Tunisia</v>
      </c>
      <c r="AJ37" s="138"/>
      <c r="AK37" s="138" t="str">
        <f t="shared" si="4"/>
        <v>draw</v>
      </c>
      <c r="AL37" s="110" t="str">
        <f t="shared" si="5"/>
        <v>draw</v>
      </c>
      <c r="AM37" s="138"/>
      <c r="AN37" s="139">
        <f>IF(AK37='The Results'!AK37,2,0)</f>
        <v>2</v>
      </c>
      <c r="AO37" s="139">
        <f>IF(AG37='The Results'!AG37,1,0)</f>
        <v>0</v>
      </c>
      <c r="AP37" s="139">
        <f>IF(AH37='The Results'!AH37,1,0)</f>
        <v>0</v>
      </c>
      <c r="AQ37" s="139">
        <f t="shared" si="7"/>
        <v>0</v>
      </c>
      <c r="AR37" s="108" t="s">
        <v>83</v>
      </c>
      <c r="AS37" s="110">
        <f>COUNTIF($AF$7:$AI$54,AR37)</f>
        <v>3</v>
      </c>
      <c r="AT37" s="108">
        <f>COUNTIF(winners,AR37)</f>
        <v>2</v>
      </c>
      <c r="AU37" s="108">
        <f>AS37-(AT37+AV37)</f>
        <v>1</v>
      </c>
      <c r="AV37" s="108">
        <f>COUNTIF(losers,AR37)</f>
        <v>0</v>
      </c>
      <c r="AW37" s="108">
        <f>SUM(BraF)</f>
        <v>8</v>
      </c>
      <c r="AX37" s="108">
        <f>SUM(BraA)</f>
        <v>4</v>
      </c>
      <c r="AY37" s="108">
        <f>SUM(AW37-AX37)</f>
        <v>4</v>
      </c>
      <c r="AZ37" s="108">
        <f>SUM((AT37*3)+AU37)</f>
        <v>7</v>
      </c>
      <c r="BA37" s="108">
        <v>21</v>
      </c>
      <c r="BB37" s="108">
        <f>CODE(MID(AR37,2,1))</f>
        <v>114</v>
      </c>
      <c r="BC37" s="108">
        <f>CODE(AR37)</f>
        <v>66</v>
      </c>
      <c r="BD37" s="110">
        <f>SUM((AZ37*100)+(AY37*10)+(AW37)-(BC37/1000)-(BB37/10000)-(BA37/100000))</f>
        <v>747.92239</v>
      </c>
      <c r="BE37" s="108" t="str">
        <f>AR37</f>
        <v>Brazil</v>
      </c>
      <c r="BF37" s="141">
        <f>LARGE(BD37:BD40,1)</f>
        <v>747.92239</v>
      </c>
      <c r="BG37" s="110"/>
      <c r="BH37" s="110"/>
      <c r="BI37" s="110"/>
      <c r="BJ37" s="110"/>
      <c r="BK37" s="110"/>
      <c r="BL37" s="110"/>
      <c r="BM37" s="110"/>
      <c r="BN37" s="110"/>
      <c r="BO37" s="110"/>
      <c r="BP37" s="108"/>
      <c r="BQ37" s="108"/>
      <c r="BR37" s="108"/>
      <c r="BS37" s="108"/>
      <c r="BT37" s="32"/>
      <c r="BU37" s="32"/>
    </row>
    <row r="38" spans="1:73" ht="16.5" thickBot="1">
      <c r="A38" s="51"/>
      <c r="B38" s="171" t="s">
        <v>76</v>
      </c>
      <c r="C38" s="80">
        <v>38522</v>
      </c>
      <c r="D38" s="30"/>
      <c r="E38" s="31" t="s">
        <v>71</v>
      </c>
      <c r="F38" s="242">
        <v>1</v>
      </c>
      <c r="G38" s="243">
        <v>1</v>
      </c>
      <c r="H38" s="162" t="s">
        <v>69</v>
      </c>
      <c r="I38" s="116">
        <f>IF('The Results'!F38&lt;&gt;"",SUM(AN38:AQ38),"")</f>
      </c>
      <c r="J38" s="36"/>
      <c r="K38" s="27" t="str">
        <f>VLOOKUP(BF38,BD37:BE40,2,FALSE)</f>
        <v>Croatia</v>
      </c>
      <c r="L38" s="2">
        <f>VLOOKUP(K38,AR37:AZ40,2,FALSE)</f>
        <v>3</v>
      </c>
      <c r="M38" s="2">
        <f>VLOOKUP(K38,AR37:AZ40,3,FALSE)</f>
        <v>1</v>
      </c>
      <c r="N38" s="2">
        <f>VLOOKUP(K38,AR37:AZ40,4,FALSE)</f>
        <v>2</v>
      </c>
      <c r="O38" s="2">
        <f>VLOOKUP(K38,AR37:AZ40,5,FALSE)</f>
        <v>0</v>
      </c>
      <c r="P38" s="2">
        <f>VLOOKUP(K38,AR37:AZ40,6,FALSE)</f>
        <v>6</v>
      </c>
      <c r="Q38" s="2">
        <f>VLOOKUP(K38,AR37:AZ40,7,FALSE)</f>
        <v>4</v>
      </c>
      <c r="R38" s="2">
        <f>VLOOKUP(K38,AR37:AZ40,8,FALSE)</f>
        <v>2</v>
      </c>
      <c r="S38" s="2">
        <f>VLOOKUP(K38,AR37:AZ40,9,FALSE)</f>
        <v>5</v>
      </c>
      <c r="T38" s="84">
        <f>IF('The Results'!L38&gt;0,IF(K38='The Results'!K38,3,0),"")</f>
      </c>
      <c r="U38" s="10"/>
      <c r="V38" s="120"/>
      <c r="W38" s="11"/>
      <c r="X38" s="111"/>
      <c r="Y38" s="113"/>
      <c r="Z38" s="32"/>
      <c r="AA38" s="110"/>
      <c r="AB38" s="112">
        <v>32</v>
      </c>
      <c r="AC38" s="138">
        <f>SUM($F$7:G38)</f>
        <v>104</v>
      </c>
      <c r="AD38" s="138">
        <f>IF(F38="","",ABS(AC38-'The Results'!AC38))</f>
        <v>104</v>
      </c>
      <c r="AE38" s="138"/>
      <c r="AF38" s="110" t="str">
        <f t="shared" si="0"/>
        <v>Saudi Arabia</v>
      </c>
      <c r="AG38" s="138">
        <f t="shared" si="1"/>
        <v>1</v>
      </c>
      <c r="AH38" s="138">
        <f t="shared" si="2"/>
        <v>1</v>
      </c>
      <c r="AI38" s="138" t="str">
        <f t="shared" si="3"/>
        <v>Ukraine</v>
      </c>
      <c r="AJ38" s="138"/>
      <c r="AK38" s="138" t="str">
        <f t="shared" si="4"/>
        <v>draw</v>
      </c>
      <c r="AL38" s="110" t="str">
        <f t="shared" si="5"/>
        <v>draw</v>
      </c>
      <c r="AM38" s="138"/>
      <c r="AN38" s="139">
        <f>IF(AK38='The Results'!AK38,2,0)</f>
        <v>2</v>
      </c>
      <c r="AO38" s="139">
        <f>IF(AG38='The Results'!AG38,1,0)</f>
        <v>0</v>
      </c>
      <c r="AP38" s="139">
        <f>IF(AH38='The Results'!AH38,1,0)</f>
        <v>0</v>
      </c>
      <c r="AQ38" s="139">
        <f t="shared" si="7"/>
        <v>0</v>
      </c>
      <c r="AR38" s="108" t="s">
        <v>21</v>
      </c>
      <c r="AS38" s="110">
        <f>COUNTIF($AF$7:$AI$54,AR38)</f>
        <v>3</v>
      </c>
      <c r="AT38" s="108">
        <f>COUNTIF(winners,AR38)</f>
        <v>1</v>
      </c>
      <c r="AU38" s="108">
        <f>AS38-(AT38+AV38)</f>
        <v>2</v>
      </c>
      <c r="AV38" s="108">
        <f>COUNTIF(losers,AR38)</f>
        <v>0</v>
      </c>
      <c r="AW38" s="108">
        <f>SUM(CroF)</f>
        <v>6</v>
      </c>
      <c r="AX38" s="108">
        <f>SUM(CroA)</f>
        <v>4</v>
      </c>
      <c r="AY38" s="108">
        <f>SUM(AW38-AX38)</f>
        <v>2</v>
      </c>
      <c r="AZ38" s="108">
        <f>SUM((AT38*3)+AU38)</f>
        <v>5</v>
      </c>
      <c r="BA38" s="108">
        <v>22</v>
      </c>
      <c r="BB38" s="108">
        <f>CODE(MID(AR38,2,1))</f>
        <v>114</v>
      </c>
      <c r="BC38" s="108">
        <f>CODE(AR38)</f>
        <v>67</v>
      </c>
      <c r="BD38" s="110">
        <f>SUM((AZ38*100)+(AY38*10)+(AW38)-(BC38/1000)-(BB38/10000)-(BA38/100000))</f>
        <v>525.92138</v>
      </c>
      <c r="BE38" s="108" t="str">
        <f>AR38</f>
        <v>Croatia</v>
      </c>
      <c r="BF38" s="141">
        <f>LARGE(BD37:BD40,2)</f>
        <v>525.92138</v>
      </c>
      <c r="BG38" s="110"/>
      <c r="BH38" s="110"/>
      <c r="BI38" s="110"/>
      <c r="BJ38" s="110"/>
      <c r="BK38" s="110"/>
      <c r="BL38" s="110"/>
      <c r="BM38" s="110"/>
      <c r="BN38" s="110"/>
      <c r="BO38" s="110"/>
      <c r="BP38" s="108"/>
      <c r="BQ38" s="108"/>
      <c r="BR38" s="108"/>
      <c r="BS38" s="108"/>
      <c r="BT38" s="32"/>
      <c r="BU38" s="32"/>
    </row>
    <row r="39" spans="1:73" ht="16.5" thickBot="1">
      <c r="A39" s="51"/>
      <c r="B39" s="171" t="s">
        <v>77</v>
      </c>
      <c r="C39" s="80">
        <v>38523</v>
      </c>
      <c r="D39" s="30"/>
      <c r="E39" s="31" t="s">
        <v>54</v>
      </c>
      <c r="F39" s="242">
        <v>0</v>
      </c>
      <c r="G39" s="243">
        <v>2</v>
      </c>
      <c r="H39" s="162" t="s">
        <v>28</v>
      </c>
      <c r="I39" s="116">
        <f>IF('The Results'!F39&lt;&gt;"",SUM(AN39:AQ39),"")</f>
      </c>
      <c r="J39" s="36"/>
      <c r="K39" s="27" t="str">
        <f>VLOOKUP(BF39,BD37:BE40,2,FALSE)</f>
        <v>Australia</v>
      </c>
      <c r="L39" s="2">
        <f>VLOOKUP(K39,AR37:AZ40,2,FALSE)</f>
        <v>3</v>
      </c>
      <c r="M39" s="2">
        <f>VLOOKUP(K39,AR37:AZ40,3,FALSE)</f>
        <v>0</v>
      </c>
      <c r="N39" s="2">
        <f>VLOOKUP(K39,AR37:AZ40,4,FALSE)</f>
        <v>2</v>
      </c>
      <c r="O39" s="2">
        <f>VLOOKUP(K39,AR37:AZ40,5,FALSE)</f>
        <v>1</v>
      </c>
      <c r="P39" s="2">
        <f>VLOOKUP(K39,AR37:AZ40,6,FALSE)</f>
        <v>3</v>
      </c>
      <c r="Q39" s="2">
        <f>VLOOKUP(K39,AR37:AZ40,7,FALSE)</f>
        <v>6</v>
      </c>
      <c r="R39" s="2">
        <f>VLOOKUP(K39,AR37:AZ40,8,FALSE)</f>
        <v>-3</v>
      </c>
      <c r="S39" s="2">
        <f>VLOOKUP(K39,AR37:AZ40,9,FALSE)</f>
        <v>2</v>
      </c>
      <c r="T39" s="84">
        <f>IF('The Results'!L39&gt;0,IF(K39='The Results'!K39,3,0),"")</f>
      </c>
      <c r="U39" s="10"/>
      <c r="V39" s="103"/>
      <c r="W39" s="11"/>
      <c r="X39" s="111"/>
      <c r="Y39" s="113"/>
      <c r="Z39" s="32"/>
      <c r="AA39" s="110"/>
      <c r="AB39" s="112">
        <v>33</v>
      </c>
      <c r="AC39" s="138">
        <f>SUM($F$7:G39)</f>
        <v>106</v>
      </c>
      <c r="AD39" s="138">
        <f>IF(F39="","",ABS(AC39-'The Results'!AC39))</f>
        <v>106</v>
      </c>
      <c r="AE39" s="138"/>
      <c r="AF39" s="110" t="str">
        <f t="shared" si="0"/>
        <v>Ecuador</v>
      </c>
      <c r="AG39" s="138">
        <f t="shared" si="1"/>
        <v>0</v>
      </c>
      <c r="AH39" s="138">
        <f t="shared" si="2"/>
        <v>2</v>
      </c>
      <c r="AI39" s="138" t="str">
        <f t="shared" si="3"/>
        <v>Germany</v>
      </c>
      <c r="AJ39" s="138"/>
      <c r="AK39" s="138" t="str">
        <f t="shared" si="4"/>
        <v>Germany</v>
      </c>
      <c r="AL39" s="110" t="str">
        <f t="shared" si="5"/>
        <v>Ecuador</v>
      </c>
      <c r="AM39" s="138"/>
      <c r="AN39" s="139">
        <f>IF(AK39='The Results'!AK39,2,0)</f>
        <v>0</v>
      </c>
      <c r="AO39" s="139">
        <f>IF(AG39='The Results'!AG39,1,0)</f>
        <v>1</v>
      </c>
      <c r="AP39" s="139">
        <f>IF(AH39='The Results'!AH39,1,0)</f>
        <v>0</v>
      </c>
      <c r="AQ39" s="139">
        <f t="shared" si="7"/>
        <v>0</v>
      </c>
      <c r="AR39" s="108" t="s">
        <v>65</v>
      </c>
      <c r="AS39" s="110">
        <f>COUNTIF($AF$7:$AI$54,AR39)</f>
        <v>3</v>
      </c>
      <c r="AT39" s="108">
        <f>COUNTIF(winners,AR39)</f>
        <v>0</v>
      </c>
      <c r="AU39" s="108">
        <f>AS39-(AT39+AV39)</f>
        <v>2</v>
      </c>
      <c r="AV39" s="108">
        <f>COUNTIF(losers,AR39)</f>
        <v>1</v>
      </c>
      <c r="AW39" s="108">
        <f>SUM(AusF)</f>
        <v>3</v>
      </c>
      <c r="AX39" s="108">
        <f>SUM(AusA)</f>
        <v>6</v>
      </c>
      <c r="AY39" s="108">
        <f>SUM(AW39-AX39)</f>
        <v>-3</v>
      </c>
      <c r="AZ39" s="108">
        <f>SUM((AT39*3)+AU39)</f>
        <v>2</v>
      </c>
      <c r="BA39" s="108">
        <v>23</v>
      </c>
      <c r="BB39" s="108">
        <f>CODE(MID(AR39,2,1))</f>
        <v>117</v>
      </c>
      <c r="BC39" s="108">
        <f>CODE(AR39)</f>
        <v>65</v>
      </c>
      <c r="BD39" s="110">
        <f>SUM((AZ39*100)+(AY39*10)+(AW39)-(BC39/1000)-(BB39/10000)-(BA39/100000))</f>
        <v>172.92307000000002</v>
      </c>
      <c r="BE39" s="108" t="str">
        <f>AR39</f>
        <v>Australia</v>
      </c>
      <c r="BF39" s="141">
        <f>LARGE(BD37:BD40,3)</f>
        <v>172.92307000000002</v>
      </c>
      <c r="BG39" s="110"/>
      <c r="BH39" s="110"/>
      <c r="BI39" s="110"/>
      <c r="BJ39" s="110"/>
      <c r="BK39" s="110"/>
      <c r="BL39" s="110"/>
      <c r="BM39" s="110"/>
      <c r="BN39" s="110"/>
      <c r="BO39" s="110"/>
      <c r="BP39" s="108"/>
      <c r="BQ39" s="108"/>
      <c r="BR39" s="108"/>
      <c r="BS39" s="108"/>
      <c r="BT39" s="32"/>
      <c r="BU39" s="32"/>
    </row>
    <row r="40" spans="1:73" ht="16.5" thickBot="1">
      <c r="A40" s="51"/>
      <c r="B40" s="171" t="s">
        <v>77</v>
      </c>
      <c r="C40" s="80">
        <v>38523</v>
      </c>
      <c r="D40" s="30"/>
      <c r="E40" s="31" t="s">
        <v>52</v>
      </c>
      <c r="F40" s="242">
        <v>1</v>
      </c>
      <c r="G40" s="243">
        <v>2</v>
      </c>
      <c r="H40" s="162" t="s">
        <v>53</v>
      </c>
      <c r="I40" s="116">
        <f>IF('The Results'!F40&lt;&gt;"",SUM(AN40:AQ40),"")</f>
      </c>
      <c r="J40" s="36"/>
      <c r="K40" s="27" t="str">
        <f>VLOOKUP(BF40,BD37:BE40,2,FALSE)</f>
        <v>Japan</v>
      </c>
      <c r="L40" s="2">
        <f>VLOOKUP(K40,AR37:AZ40,2,FALSE)</f>
        <v>3</v>
      </c>
      <c r="M40" s="2">
        <f>VLOOKUP(K40,AR37:AZ40,3,FALSE)</f>
        <v>0</v>
      </c>
      <c r="N40" s="2">
        <f>VLOOKUP(K40,AR37:AZ40,4,FALSE)</f>
        <v>1</v>
      </c>
      <c r="O40" s="2">
        <f>VLOOKUP(K40,AR37:AZ40,5,FALSE)</f>
        <v>2</v>
      </c>
      <c r="P40" s="2">
        <f>VLOOKUP(K40,AR37:AZ40,6,FALSE)</f>
        <v>3</v>
      </c>
      <c r="Q40" s="2">
        <f>VLOOKUP(K40,AR37:AZ40,7,FALSE)</f>
        <v>6</v>
      </c>
      <c r="R40" s="2">
        <f>VLOOKUP(K40,AR37:AZ40,8,FALSE)</f>
        <v>-3</v>
      </c>
      <c r="S40" s="2">
        <f>VLOOKUP(K40,AR37:AZ40,9,FALSE)</f>
        <v>1</v>
      </c>
      <c r="T40" s="84">
        <f>IF('The Results'!L40&gt;0,IF(K40='The Results'!K40,3,0),"")</f>
      </c>
      <c r="U40" s="10"/>
      <c r="V40" s="44" t="s">
        <v>47</v>
      </c>
      <c r="W40" s="11"/>
      <c r="X40" s="111"/>
      <c r="Y40" s="113"/>
      <c r="Z40" s="32"/>
      <c r="AA40" s="110"/>
      <c r="AB40" s="112">
        <v>34</v>
      </c>
      <c r="AC40" s="138">
        <f>SUM($F$7:G40)</f>
        <v>109</v>
      </c>
      <c r="AD40" s="138">
        <f>IF(F40="","",ABS(AC40-'The Results'!AC40))</f>
        <v>109</v>
      </c>
      <c r="AE40" s="138"/>
      <c r="AF40" s="110" t="str">
        <f t="shared" si="0"/>
        <v>Costa Rica</v>
      </c>
      <c r="AG40" s="138">
        <f t="shared" si="1"/>
        <v>1</v>
      </c>
      <c r="AH40" s="138">
        <f t="shared" si="2"/>
        <v>2</v>
      </c>
      <c r="AI40" s="138" t="str">
        <f t="shared" si="3"/>
        <v>Poland</v>
      </c>
      <c r="AJ40" s="138"/>
      <c r="AK40" s="138" t="str">
        <f t="shared" si="4"/>
        <v>Poland</v>
      </c>
      <c r="AL40" s="110" t="str">
        <f t="shared" si="5"/>
        <v>Costa Rica</v>
      </c>
      <c r="AM40" s="138"/>
      <c r="AN40" s="139">
        <f>IF(AK40='The Results'!AK40,2,0)</f>
        <v>0</v>
      </c>
      <c r="AO40" s="139">
        <f>IF(AG40='The Results'!AG40,1,0)</f>
        <v>0</v>
      </c>
      <c r="AP40" s="139">
        <f>IF(AH40='The Results'!AH40,1,0)</f>
        <v>0</v>
      </c>
      <c r="AQ40" s="139">
        <f t="shared" si="7"/>
        <v>0</v>
      </c>
      <c r="AR40" s="108" t="s">
        <v>66</v>
      </c>
      <c r="AS40" s="110">
        <f>COUNTIF($AF$7:$AI$54,AR40)</f>
        <v>3</v>
      </c>
      <c r="AT40" s="108">
        <f>COUNTIF(winners,AR40)</f>
        <v>0</v>
      </c>
      <c r="AU40" s="108">
        <f>AS40-(AT40+AV40)</f>
        <v>1</v>
      </c>
      <c r="AV40" s="108">
        <f>COUNTIF(losers,AR40)</f>
        <v>2</v>
      </c>
      <c r="AW40" s="108">
        <f>SUM(JapF)</f>
        <v>3</v>
      </c>
      <c r="AX40" s="108">
        <f>SUM(JapA)</f>
        <v>6</v>
      </c>
      <c r="AY40" s="108">
        <f>SUM(AW40-AX40)</f>
        <v>-3</v>
      </c>
      <c r="AZ40" s="108">
        <f>SUM((AT40*3)+AU40)</f>
        <v>1</v>
      </c>
      <c r="BA40" s="108">
        <v>24</v>
      </c>
      <c r="BB40" s="108">
        <f>CODE(MID(AR40,2,1))</f>
        <v>97</v>
      </c>
      <c r="BC40" s="108">
        <f>CODE(AR40)</f>
        <v>74</v>
      </c>
      <c r="BD40" s="110">
        <f>SUM((AZ40*100)+(AY40*10)+(AW40)-(BC40/1000)-(BB40/10000)-(BA40/100000))</f>
        <v>72.91606</v>
      </c>
      <c r="BE40" s="108" t="str">
        <f>AR40</f>
        <v>Japan</v>
      </c>
      <c r="BF40" s="141">
        <f>LARGE(BD37:BD40,4)</f>
        <v>72.91606</v>
      </c>
      <c r="BG40" s="110"/>
      <c r="BH40" s="110"/>
      <c r="BI40" s="110"/>
      <c r="BJ40" s="110"/>
      <c r="BK40" s="110"/>
      <c r="BL40" s="110"/>
      <c r="BM40" s="110"/>
      <c r="BN40" s="110"/>
      <c r="BO40" s="110"/>
      <c r="BP40" s="108"/>
      <c r="BQ40" s="108"/>
      <c r="BR40" s="108"/>
      <c r="BS40" s="108"/>
      <c r="BT40" s="32"/>
      <c r="BU40" s="32"/>
    </row>
    <row r="41" spans="1:73" ht="16.5" thickBot="1">
      <c r="A41" s="51"/>
      <c r="B41" s="171" t="s">
        <v>77</v>
      </c>
      <c r="C41" s="80">
        <v>38523</v>
      </c>
      <c r="D41" s="30"/>
      <c r="E41" s="31" t="s">
        <v>26</v>
      </c>
      <c r="F41" s="242">
        <v>1</v>
      </c>
      <c r="G41" s="243">
        <v>1</v>
      </c>
      <c r="H41" s="162" t="s">
        <v>23</v>
      </c>
      <c r="I41" s="116">
        <f>IF('The Results'!F41&lt;&gt;"",SUM(AN41:AQ41),"")</f>
      </c>
      <c r="J41" s="36"/>
      <c r="K41" s="54"/>
      <c r="L41" s="4"/>
      <c r="M41" s="4"/>
      <c r="N41" s="4"/>
      <c r="O41" s="4"/>
      <c r="P41" s="4"/>
      <c r="Q41" s="4"/>
      <c r="R41" s="4"/>
      <c r="S41" s="4"/>
      <c r="T41" s="10"/>
      <c r="U41" s="10"/>
      <c r="V41" s="121"/>
      <c r="W41" s="11"/>
      <c r="X41" s="111"/>
      <c r="Y41" s="113"/>
      <c r="Z41" s="32"/>
      <c r="AA41" s="110"/>
      <c r="AB41" s="112">
        <v>35</v>
      </c>
      <c r="AC41" s="138">
        <f>SUM($F$7:G41)</f>
        <v>111</v>
      </c>
      <c r="AD41" s="138">
        <f>IF(F41="","",ABS(AC41-'The Results'!AC41))</f>
        <v>111</v>
      </c>
      <c r="AE41" s="138"/>
      <c r="AF41" s="110" t="str">
        <f t="shared" si="0"/>
        <v>Sweden</v>
      </c>
      <c r="AG41" s="138">
        <f t="shared" si="1"/>
        <v>1</v>
      </c>
      <c r="AH41" s="138">
        <f t="shared" si="2"/>
        <v>1</v>
      </c>
      <c r="AI41" s="138" t="str">
        <f t="shared" si="3"/>
        <v>England</v>
      </c>
      <c r="AJ41" s="138"/>
      <c r="AK41" s="138" t="str">
        <f t="shared" si="4"/>
        <v>draw</v>
      </c>
      <c r="AL41" s="110" t="str">
        <f t="shared" si="5"/>
        <v>draw</v>
      </c>
      <c r="AM41" s="138"/>
      <c r="AN41" s="139">
        <f>IF(AK41='The Results'!AK41,2,0)</f>
        <v>2</v>
      </c>
      <c r="AO41" s="139">
        <f>IF(AG41='The Results'!AG41,1,0)</f>
        <v>0</v>
      </c>
      <c r="AP41" s="139">
        <f>IF(AH41='The Results'!AH41,1,0)</f>
        <v>0</v>
      </c>
      <c r="AQ41" s="139">
        <f t="shared" si="7"/>
        <v>0</v>
      </c>
      <c r="AR41" s="108"/>
      <c r="AS41" s="110"/>
      <c r="AT41" s="108"/>
      <c r="AU41" s="108"/>
      <c r="AV41" s="108"/>
      <c r="AW41" s="108"/>
      <c r="AX41" s="108"/>
      <c r="AY41" s="108"/>
      <c r="AZ41" s="108"/>
      <c r="BA41" s="108"/>
      <c r="BB41" s="108"/>
      <c r="BC41" s="108"/>
      <c r="BD41" s="110"/>
      <c r="BE41" s="108"/>
      <c r="BF41" s="136"/>
      <c r="BG41" s="108"/>
      <c r="BH41" s="108"/>
      <c r="BI41" s="108"/>
      <c r="BJ41" s="108"/>
      <c r="BK41" s="108"/>
      <c r="BL41" s="108"/>
      <c r="BM41" s="108"/>
      <c r="BN41" s="108"/>
      <c r="BO41" s="108"/>
      <c r="BP41" s="108"/>
      <c r="BQ41" s="108"/>
      <c r="BR41" s="108"/>
      <c r="BS41" s="108"/>
      <c r="BT41" s="32"/>
      <c r="BU41" s="32"/>
    </row>
    <row r="42" spans="1:73" ht="16.5" thickBot="1">
      <c r="A42" s="51"/>
      <c r="B42" s="171" t="s">
        <v>77</v>
      </c>
      <c r="C42" s="80">
        <v>38523</v>
      </c>
      <c r="D42" s="30"/>
      <c r="E42" s="31" t="s">
        <v>55</v>
      </c>
      <c r="F42" s="242">
        <v>3</v>
      </c>
      <c r="G42" s="243">
        <v>1</v>
      </c>
      <c r="H42" s="162" t="s">
        <v>56</v>
      </c>
      <c r="I42" s="116">
        <f>IF('The Results'!F42&lt;&gt;"",SUM(AN42:AQ42),"")</f>
      </c>
      <c r="J42" s="36"/>
      <c r="K42" s="76" t="s">
        <v>84</v>
      </c>
      <c r="L42" s="87" t="s">
        <v>7</v>
      </c>
      <c r="M42" s="87" t="s">
        <v>8</v>
      </c>
      <c r="N42" s="87" t="s">
        <v>9</v>
      </c>
      <c r="O42" s="87" t="s">
        <v>10</v>
      </c>
      <c r="P42" s="87" t="s">
        <v>11</v>
      </c>
      <c r="Q42" s="87" t="s">
        <v>12</v>
      </c>
      <c r="R42" s="87" t="s">
        <v>13</v>
      </c>
      <c r="S42" s="87" t="s">
        <v>14</v>
      </c>
      <c r="T42" s="10"/>
      <c r="U42" s="10"/>
      <c r="W42" s="11"/>
      <c r="X42" s="111"/>
      <c r="Y42" s="113"/>
      <c r="Z42" s="32"/>
      <c r="AA42" s="110"/>
      <c r="AB42" s="112">
        <v>36</v>
      </c>
      <c r="AC42" s="138">
        <f>SUM($F$7:G42)</f>
        <v>115</v>
      </c>
      <c r="AD42" s="138">
        <f>IF(F42="","",ABS(AC42-'The Results'!AC42))</f>
        <v>115</v>
      </c>
      <c r="AE42" s="138"/>
      <c r="AF42" s="110" t="str">
        <f t="shared" si="0"/>
        <v>Paraguay</v>
      </c>
      <c r="AG42" s="138">
        <f t="shared" si="1"/>
        <v>3</v>
      </c>
      <c r="AH42" s="138">
        <f t="shared" si="2"/>
        <v>1</v>
      </c>
      <c r="AI42" s="138" t="str">
        <f t="shared" si="3"/>
        <v>Trinidad &amp; Tobago</v>
      </c>
      <c r="AJ42" s="138"/>
      <c r="AK42" s="138" t="str">
        <f t="shared" si="4"/>
        <v>Paraguay</v>
      </c>
      <c r="AL42" s="110" t="str">
        <f t="shared" si="5"/>
        <v>Trinidad &amp; Tobago</v>
      </c>
      <c r="AM42" s="138"/>
      <c r="AN42" s="139">
        <f>IF(AK42='The Results'!AK42,2,0)</f>
        <v>0</v>
      </c>
      <c r="AO42" s="139">
        <f>IF(AG42='The Results'!AG42,1,0)</f>
        <v>0</v>
      </c>
      <c r="AP42" s="139">
        <f>IF(AH42='The Results'!AH42,1,0)</f>
        <v>0</v>
      </c>
      <c r="AQ42" s="139">
        <f t="shared" si="7"/>
        <v>0</v>
      </c>
      <c r="AR42" s="143" t="s">
        <v>84</v>
      </c>
      <c r="AS42" s="108" t="s">
        <v>7</v>
      </c>
      <c r="AT42" s="108" t="s">
        <v>8</v>
      </c>
      <c r="AU42" s="108" t="s">
        <v>9</v>
      </c>
      <c r="AV42" s="108" t="s">
        <v>10</v>
      </c>
      <c r="AW42" s="108" t="s">
        <v>11</v>
      </c>
      <c r="AX42" s="108" t="s">
        <v>12</v>
      </c>
      <c r="AY42" s="108" t="s">
        <v>17</v>
      </c>
      <c r="AZ42" s="108" t="s">
        <v>14</v>
      </c>
      <c r="BA42" s="108"/>
      <c r="BB42" s="108"/>
      <c r="BC42" s="108"/>
      <c r="BD42" s="110"/>
      <c r="BE42" s="108"/>
      <c r="BF42" s="141"/>
      <c r="BG42" s="108"/>
      <c r="BH42" s="108"/>
      <c r="BI42" s="108"/>
      <c r="BJ42" s="108"/>
      <c r="BK42" s="108"/>
      <c r="BL42" s="108"/>
      <c r="BM42" s="108"/>
      <c r="BN42" s="108"/>
      <c r="BO42" s="108"/>
      <c r="BP42" s="108"/>
      <c r="BQ42" s="108"/>
      <c r="BR42" s="108"/>
      <c r="BS42" s="108"/>
      <c r="BT42" s="32"/>
      <c r="BU42" s="32"/>
    </row>
    <row r="43" spans="1:73" ht="16.5" thickBot="1">
      <c r="A43" s="51"/>
      <c r="B43" s="171" t="s">
        <v>78</v>
      </c>
      <c r="C43" s="80">
        <v>38524</v>
      </c>
      <c r="D43" s="30"/>
      <c r="E43" s="31" t="s">
        <v>59</v>
      </c>
      <c r="F43" s="78">
        <v>1</v>
      </c>
      <c r="G43" s="241">
        <v>2</v>
      </c>
      <c r="H43" s="162" t="s">
        <v>72</v>
      </c>
      <c r="I43" s="116">
        <f>IF('The Results'!F43&lt;&gt;"",SUM(AN43:AQ43),"")</f>
      </c>
      <c r="J43" s="36"/>
      <c r="K43" s="27" t="str">
        <f>VLOOKUP(BF43,BD43:BE46,2,FALSE)</f>
        <v>Switzerland</v>
      </c>
      <c r="L43" s="2">
        <f>VLOOKUP(K43,AR43:AZ46,2,FALSE)</f>
        <v>3</v>
      </c>
      <c r="M43" s="2">
        <f>VLOOKUP(K43,AR43:AZ46,3,FALSE)</f>
        <v>1</v>
      </c>
      <c r="N43" s="2">
        <f>VLOOKUP(K43,AR43:AZ46,4,FALSE)</f>
        <v>2</v>
      </c>
      <c r="O43" s="2">
        <f>VLOOKUP(K43,AR43:AZ46,5,FALSE)</f>
        <v>0</v>
      </c>
      <c r="P43" s="2">
        <f>VLOOKUP(K43,AR43:AZ46,6,FALSE)</f>
        <v>6</v>
      </c>
      <c r="Q43" s="2">
        <f>VLOOKUP(K43,AR43:AZ46,7,FALSE)</f>
        <v>4</v>
      </c>
      <c r="R43" s="2">
        <f>VLOOKUP(K43,AR43:AZ46,8,FALSE)</f>
        <v>2</v>
      </c>
      <c r="S43" s="2">
        <f>VLOOKUP(K43,AR43:AZ46,9,FALSE)</f>
        <v>5</v>
      </c>
      <c r="T43" s="84">
        <f>IF('The Results'!L43&gt;0,IF(K43='The Results'!K43,3,0),"")</f>
      </c>
      <c r="U43" s="10"/>
      <c r="V43" s="216"/>
      <c r="W43" s="11"/>
      <c r="X43" s="111"/>
      <c r="Y43" s="113"/>
      <c r="Z43" s="32"/>
      <c r="AA43" s="110"/>
      <c r="AB43" s="112">
        <v>37</v>
      </c>
      <c r="AC43" s="138">
        <f>SUM($F$7:G43)</f>
        <v>118</v>
      </c>
      <c r="AD43" s="138">
        <f>IF(F43="","",ABS(AC43-'The Results'!AC43))</f>
        <v>118</v>
      </c>
      <c r="AE43" s="138"/>
      <c r="AF43" s="110" t="str">
        <f t="shared" si="0"/>
        <v>Holland</v>
      </c>
      <c r="AG43" s="138">
        <f t="shared" si="1"/>
        <v>1</v>
      </c>
      <c r="AH43" s="138">
        <f t="shared" si="2"/>
        <v>2</v>
      </c>
      <c r="AI43" s="138" t="str">
        <f t="shared" si="3"/>
        <v>Argentina</v>
      </c>
      <c r="AJ43" s="138"/>
      <c r="AK43" s="138" t="str">
        <f t="shared" si="4"/>
        <v>Argentina</v>
      </c>
      <c r="AL43" s="110" t="str">
        <f t="shared" si="5"/>
        <v>Holland</v>
      </c>
      <c r="AM43" s="138"/>
      <c r="AN43" s="139">
        <f>IF(AK43='The Results'!AK43,2,0)</f>
        <v>0</v>
      </c>
      <c r="AO43" s="139">
        <f>IF(AG43='The Results'!AG43,1,0)</f>
        <v>0</v>
      </c>
      <c r="AP43" s="139">
        <f>IF(AH43='The Results'!AH43,1,0)</f>
        <v>0</v>
      </c>
      <c r="AQ43" s="139">
        <f t="shared" si="7"/>
        <v>0</v>
      </c>
      <c r="AR43" s="108" t="s">
        <v>22</v>
      </c>
      <c r="AS43" s="110">
        <f>COUNTIF($AF$7:$AI$54,AR43)</f>
        <v>3</v>
      </c>
      <c r="AT43" s="108">
        <f>COUNTIF(winners,AR43)</f>
        <v>1</v>
      </c>
      <c r="AU43" s="108">
        <f>AS43-(AT43+AV43)</f>
        <v>2</v>
      </c>
      <c r="AV43" s="108">
        <f>COUNTIF(losers,AR43)</f>
        <v>0</v>
      </c>
      <c r="AW43" s="108">
        <f>SUM(FraF)</f>
        <v>6</v>
      </c>
      <c r="AX43" s="108">
        <f>SUM(FraA)</f>
        <v>5</v>
      </c>
      <c r="AY43" s="108">
        <f>SUM(AW43-AX43)</f>
        <v>1</v>
      </c>
      <c r="AZ43" s="108">
        <f>SUM((AT43*3)+AU43)</f>
        <v>5</v>
      </c>
      <c r="BA43" s="108">
        <v>25</v>
      </c>
      <c r="BB43" s="108">
        <f>CODE(MID(AR43,2,1))</f>
        <v>114</v>
      </c>
      <c r="BC43" s="108">
        <f>CODE(AR43)</f>
        <v>70</v>
      </c>
      <c r="BD43" s="110">
        <f>SUM((AZ43*100)+(AY43*10)+(AW43)-(BC43/1000)-(BB43/10000)-(BA43/100000))</f>
        <v>515.9183499999999</v>
      </c>
      <c r="BE43" s="108" t="str">
        <f>AR43</f>
        <v>France</v>
      </c>
      <c r="BF43" s="141">
        <f>LARGE(BD43:BD46,1)</f>
        <v>525.90484</v>
      </c>
      <c r="BG43" s="110"/>
      <c r="BH43" s="110"/>
      <c r="BI43" s="110"/>
      <c r="BJ43" s="110"/>
      <c r="BK43" s="110"/>
      <c r="BL43" s="110"/>
      <c r="BM43" s="110"/>
      <c r="BN43" s="110"/>
      <c r="BO43" s="110"/>
      <c r="BP43" s="108"/>
      <c r="BQ43" s="108"/>
      <c r="BR43" s="108"/>
      <c r="BS43" s="108"/>
      <c r="BT43" s="32"/>
      <c r="BU43" s="32"/>
    </row>
    <row r="44" spans="1:73" ht="16.5" thickBot="1">
      <c r="A44" s="51"/>
      <c r="B44" s="171" t="s">
        <v>78</v>
      </c>
      <c r="C44" s="80">
        <v>38524</v>
      </c>
      <c r="D44" s="30"/>
      <c r="E44" s="31" t="s">
        <v>57</v>
      </c>
      <c r="F44" s="242">
        <v>0</v>
      </c>
      <c r="G44" s="243">
        <v>2</v>
      </c>
      <c r="H44" s="162" t="s">
        <v>58</v>
      </c>
      <c r="I44" s="116">
        <f>IF('The Results'!F44&lt;&gt;"",SUM(AN44:AQ44),"")</f>
      </c>
      <c r="J44" s="36"/>
      <c r="K44" s="27" t="str">
        <f>VLOOKUP(BF44,BD43:BE46,2,FALSE)</f>
        <v>South Korea</v>
      </c>
      <c r="L44" s="2">
        <f>VLOOKUP(K44,AR43:AZ46,2,FALSE)</f>
        <v>3</v>
      </c>
      <c r="M44" s="2">
        <f>VLOOKUP(K44,AR43:AZ46,3,FALSE)</f>
        <v>1</v>
      </c>
      <c r="N44" s="2">
        <f>VLOOKUP(K44,AR43:AZ46,4,FALSE)</f>
        <v>2</v>
      </c>
      <c r="O44" s="2">
        <f>VLOOKUP(K44,AR43:AZ46,5,FALSE)</f>
        <v>0</v>
      </c>
      <c r="P44" s="2">
        <f>VLOOKUP(K44,AR43:AZ46,6,FALSE)</f>
        <v>5</v>
      </c>
      <c r="Q44" s="2">
        <f>VLOOKUP(K44,AR43:AZ46,7,FALSE)</f>
        <v>3</v>
      </c>
      <c r="R44" s="2">
        <f>VLOOKUP(K44,AR43:AZ46,8,FALSE)</f>
        <v>2</v>
      </c>
      <c r="S44" s="2">
        <f>VLOOKUP(K44,AR43:AZ46,9,FALSE)</f>
        <v>5</v>
      </c>
      <c r="T44" s="84">
        <f>IF('The Results'!L44&gt;0,IF(K44='The Results'!K44,3,0),"")</f>
      </c>
      <c r="U44" s="10"/>
      <c r="V44" s="103"/>
      <c r="W44" s="11"/>
      <c r="X44" s="111"/>
      <c r="Y44" s="113"/>
      <c r="Z44" s="32"/>
      <c r="AA44" s="110"/>
      <c r="AB44" s="112">
        <v>38</v>
      </c>
      <c r="AC44" s="138">
        <f>SUM($F$7:G44)</f>
        <v>120</v>
      </c>
      <c r="AD44" s="138">
        <f>IF(F44="","",ABS(AC44-'The Results'!AC44))</f>
        <v>120</v>
      </c>
      <c r="AE44" s="138"/>
      <c r="AF44" s="110" t="str">
        <f t="shared" si="0"/>
        <v>Ivory Coast</v>
      </c>
      <c r="AG44" s="138">
        <f t="shared" si="1"/>
        <v>0</v>
      </c>
      <c r="AH44" s="138">
        <f t="shared" si="2"/>
        <v>2</v>
      </c>
      <c r="AI44" s="138" t="str">
        <f t="shared" si="3"/>
        <v>Serbia &amp; Montenegro</v>
      </c>
      <c r="AJ44" s="138"/>
      <c r="AK44" s="138" t="str">
        <f t="shared" si="4"/>
        <v>Serbia &amp; Montenegro</v>
      </c>
      <c r="AL44" s="110" t="str">
        <f t="shared" si="5"/>
        <v>Ivory Coast</v>
      </c>
      <c r="AM44" s="138"/>
      <c r="AN44" s="139">
        <f>IF(AK44='The Results'!AK44,2,0)</f>
        <v>0</v>
      </c>
      <c r="AO44" s="139">
        <f>IF(AG44='The Results'!AG44,1,0)</f>
        <v>1</v>
      </c>
      <c r="AP44" s="139">
        <f>IF(AH44='The Results'!AH44,1,0)</f>
        <v>0</v>
      </c>
      <c r="AQ44" s="139">
        <f t="shared" si="7"/>
        <v>0</v>
      </c>
      <c r="AR44" s="108" t="s">
        <v>20</v>
      </c>
      <c r="AS44" s="110">
        <f>COUNTIF($AF$7:$AI$54,AR44)</f>
        <v>3</v>
      </c>
      <c r="AT44" s="108">
        <f>COUNTIF(winners,AR44)</f>
        <v>1</v>
      </c>
      <c r="AU44" s="108">
        <f>AS44-(AT44+AV44)</f>
        <v>2</v>
      </c>
      <c r="AV44" s="108">
        <f>COUNTIF(losers,AR44)</f>
        <v>0</v>
      </c>
      <c r="AW44" s="108">
        <f>SUM(SwiF)</f>
        <v>6</v>
      </c>
      <c r="AX44" s="108">
        <f>SUM(SwiA)</f>
        <v>4</v>
      </c>
      <c r="AY44" s="108">
        <f>SUM(AW44-AX44)</f>
        <v>2</v>
      </c>
      <c r="AZ44" s="108">
        <f>SUM((AT44*3)+AU44)</f>
        <v>5</v>
      </c>
      <c r="BA44" s="108">
        <v>26</v>
      </c>
      <c r="BB44" s="108">
        <f>CODE(MID(AR44,2,1))</f>
        <v>119</v>
      </c>
      <c r="BC44" s="108">
        <f>CODE(AR44)</f>
        <v>83</v>
      </c>
      <c r="BD44" s="110">
        <f>SUM((AZ44*100)+(AY44*10)+(AW44)-(BC44/1000)-(BB44/10000)-(BA44/100000))</f>
        <v>525.90484</v>
      </c>
      <c r="BE44" s="108" t="str">
        <f>AR44</f>
        <v>Switzerland</v>
      </c>
      <c r="BF44" s="141">
        <f>LARGE(BD43:BD46,2)</f>
        <v>524.90563</v>
      </c>
      <c r="BG44" s="110"/>
      <c r="BH44" s="110"/>
      <c r="BI44" s="110"/>
      <c r="BJ44" s="110"/>
      <c r="BK44" s="110"/>
      <c r="BL44" s="110"/>
      <c r="BM44" s="110"/>
      <c r="BN44" s="110"/>
      <c r="BO44" s="110"/>
      <c r="BP44" s="108"/>
      <c r="BQ44" s="108"/>
      <c r="BR44" s="108"/>
      <c r="BS44" s="108"/>
      <c r="BT44" s="32"/>
      <c r="BU44" s="32"/>
    </row>
    <row r="45" spans="1:73" ht="16.5" thickBot="1">
      <c r="A45" s="51"/>
      <c r="B45" s="171" t="s">
        <v>78</v>
      </c>
      <c r="C45" s="80">
        <v>38524</v>
      </c>
      <c r="D45" s="30"/>
      <c r="E45" s="31" t="s">
        <v>18</v>
      </c>
      <c r="F45" s="78">
        <v>3</v>
      </c>
      <c r="G45" s="241">
        <v>2</v>
      </c>
      <c r="H45" s="162" t="s">
        <v>60</v>
      </c>
      <c r="I45" s="116">
        <f>IF('The Results'!F45&lt;&gt;"",SUM(AN45:AQ45),"")</f>
      </c>
      <c r="J45" s="36"/>
      <c r="K45" s="27" t="str">
        <f>VLOOKUP(BF45,BD43:BE46,2,FALSE)</f>
        <v>France</v>
      </c>
      <c r="L45" s="2">
        <f>VLOOKUP(K45,AR43:AZ46,2,FALSE)</f>
        <v>3</v>
      </c>
      <c r="M45" s="2">
        <f>VLOOKUP(K45,AR43:AZ46,3,FALSE)</f>
        <v>1</v>
      </c>
      <c r="N45" s="2">
        <f>VLOOKUP(K45,AR43:AZ46,4,FALSE)</f>
        <v>2</v>
      </c>
      <c r="O45" s="2">
        <f>VLOOKUP(K45,AR43:AZ46,5,FALSE)</f>
        <v>0</v>
      </c>
      <c r="P45" s="2">
        <f>VLOOKUP(K45,AR43:AZ46,6,FALSE)</f>
        <v>6</v>
      </c>
      <c r="Q45" s="2">
        <f>VLOOKUP(K45,AR43:AZ46,7,FALSE)</f>
        <v>5</v>
      </c>
      <c r="R45" s="2">
        <f>VLOOKUP(K45,AR43:AZ46,8,FALSE)</f>
        <v>1</v>
      </c>
      <c r="S45" s="2">
        <f>VLOOKUP(K45,AR43:AZ46,9,FALSE)</f>
        <v>5</v>
      </c>
      <c r="T45" s="84">
        <f>IF('The Results'!L45&gt;0,IF(K45='The Results'!K45,3,0),"")</f>
      </c>
      <c r="U45" s="10"/>
      <c r="V45" s="103"/>
      <c r="W45" s="11"/>
      <c r="X45" s="111"/>
      <c r="Y45" s="113"/>
      <c r="Z45" s="32"/>
      <c r="AA45" s="110"/>
      <c r="AB45" s="112">
        <v>39</v>
      </c>
      <c r="AC45" s="138">
        <f>SUM($F$7:G45)</f>
        <v>125</v>
      </c>
      <c r="AD45" s="138">
        <f>IF(F45="","",ABS(AC45-'The Results'!AC45))</f>
        <v>125</v>
      </c>
      <c r="AE45" s="138"/>
      <c r="AF45" s="110" t="str">
        <f t="shared" si="0"/>
        <v>Portugal</v>
      </c>
      <c r="AG45" s="138">
        <f t="shared" si="1"/>
        <v>3</v>
      </c>
      <c r="AH45" s="138">
        <f t="shared" si="2"/>
        <v>2</v>
      </c>
      <c r="AI45" s="138" t="str">
        <f t="shared" si="3"/>
        <v>Mexico</v>
      </c>
      <c r="AJ45" s="138"/>
      <c r="AK45" s="138" t="str">
        <f t="shared" si="4"/>
        <v>Portugal</v>
      </c>
      <c r="AL45" s="110" t="str">
        <f t="shared" si="5"/>
        <v>Mexico</v>
      </c>
      <c r="AM45" s="138"/>
      <c r="AN45" s="139">
        <f>IF(AK45='The Results'!AK45,2,0)</f>
        <v>0</v>
      </c>
      <c r="AO45" s="139">
        <f>IF(AG45='The Results'!AG45,1,0)</f>
        <v>0</v>
      </c>
      <c r="AP45" s="139">
        <f>IF(AH45='The Results'!AH45,1,0)</f>
        <v>0</v>
      </c>
      <c r="AQ45" s="139">
        <f t="shared" si="7"/>
        <v>0</v>
      </c>
      <c r="AR45" s="108" t="s">
        <v>67</v>
      </c>
      <c r="AS45" s="110">
        <f>COUNTIF($AF$7:$AI$54,AR45)</f>
        <v>3</v>
      </c>
      <c r="AT45" s="108">
        <f>COUNTIF(winners,AR45)</f>
        <v>1</v>
      </c>
      <c r="AU45" s="108">
        <f>AS45-(AT45+AV45)</f>
        <v>2</v>
      </c>
      <c r="AV45" s="108">
        <f>COUNTIF(losers,AR45)</f>
        <v>0</v>
      </c>
      <c r="AW45" s="108">
        <f>SUM(souf)</f>
        <v>5</v>
      </c>
      <c r="AX45" s="108">
        <f>SUM(SouA)</f>
        <v>3</v>
      </c>
      <c r="AY45" s="108">
        <f>SUM(AW45-AX45)</f>
        <v>2</v>
      </c>
      <c r="AZ45" s="108">
        <f>SUM((AT45*3)+AU45)</f>
        <v>5</v>
      </c>
      <c r="BA45" s="108">
        <v>27</v>
      </c>
      <c r="BB45" s="108">
        <f>CODE(MID(AR45,2,1))</f>
        <v>111</v>
      </c>
      <c r="BC45" s="108">
        <f>CODE(AR45)</f>
        <v>83</v>
      </c>
      <c r="BD45" s="110">
        <f>SUM((AZ45*100)+(AY45*10)+(AW45)-(BC45/1000)-(BB45/10000)-(BA45/100000))</f>
        <v>524.90563</v>
      </c>
      <c r="BE45" s="108" t="str">
        <f>AR45</f>
        <v>South Korea</v>
      </c>
      <c r="BF45" s="141">
        <f>LARGE(BD43:BD46,3)</f>
        <v>515.9183499999999</v>
      </c>
      <c r="BG45" s="110"/>
      <c r="BH45" s="110"/>
      <c r="BI45" s="110"/>
      <c r="BJ45" s="110"/>
      <c r="BK45" s="110"/>
      <c r="BL45" s="110"/>
      <c r="BM45" s="110"/>
      <c r="BN45" s="110"/>
      <c r="BO45" s="110"/>
      <c r="BP45" s="108"/>
      <c r="BQ45" s="108"/>
      <c r="BR45" s="108"/>
      <c r="BS45" s="108"/>
      <c r="BT45" s="32"/>
      <c r="BU45" s="32"/>
    </row>
    <row r="46" spans="1:73" ht="16.5" thickBot="1">
      <c r="A46" s="51"/>
      <c r="B46" s="171" t="s">
        <v>78</v>
      </c>
      <c r="C46" s="80">
        <v>38524</v>
      </c>
      <c r="D46" s="30"/>
      <c r="E46" s="31" t="s">
        <v>61</v>
      </c>
      <c r="F46" s="242">
        <v>2</v>
      </c>
      <c r="G46" s="243">
        <v>0</v>
      </c>
      <c r="H46" s="162" t="s">
        <v>62</v>
      </c>
      <c r="I46" s="116">
        <f>IF('The Results'!F46&lt;&gt;"",SUM(AN46:AQ46),"")</f>
      </c>
      <c r="J46" s="36"/>
      <c r="K46" s="27" t="str">
        <f>VLOOKUP(BF46,BD43:BE46,2,FALSE)</f>
        <v>Togo</v>
      </c>
      <c r="L46" s="2">
        <f>VLOOKUP(K46,AR43:AZ46,2,FALSE)</f>
        <v>3</v>
      </c>
      <c r="M46" s="2">
        <f>VLOOKUP(K46,AR43:AZ46,3,FALSE)</f>
        <v>0</v>
      </c>
      <c r="N46" s="2">
        <f>VLOOKUP(K46,AR43:AZ46,4,FALSE)</f>
        <v>0</v>
      </c>
      <c r="O46" s="2">
        <f>VLOOKUP(K46,AR43:AZ46,5,FALSE)</f>
        <v>3</v>
      </c>
      <c r="P46" s="2">
        <f>VLOOKUP(K46,AR43:AZ46,6,FALSE)</f>
        <v>2</v>
      </c>
      <c r="Q46" s="2">
        <f>VLOOKUP(K46,AR43:AZ46,7,FALSE)</f>
        <v>7</v>
      </c>
      <c r="R46" s="2">
        <f>VLOOKUP(K46,AR43:AZ46,8,FALSE)</f>
        <v>-5</v>
      </c>
      <c r="S46" s="2">
        <f>VLOOKUP(K46,AR43:AZ46,9,FALSE)</f>
        <v>0</v>
      </c>
      <c r="T46" s="84">
        <f>IF('The Results'!L46&gt;0,IF(K46='The Results'!K46,3,0),"")</f>
      </c>
      <c r="U46" s="10"/>
      <c r="V46" s="217" t="s">
        <v>97</v>
      </c>
      <c r="W46" s="11"/>
      <c r="X46" s="111"/>
      <c r="Y46" s="113"/>
      <c r="Z46" s="32"/>
      <c r="AA46" s="110"/>
      <c r="AB46" s="112">
        <v>40</v>
      </c>
      <c r="AC46" s="138">
        <f>SUM($F$7:G46)</f>
        <v>127</v>
      </c>
      <c r="AD46" s="138">
        <f>IF(F46="","",ABS(AC46-'The Results'!AC46))</f>
        <v>127</v>
      </c>
      <c r="AE46" s="138"/>
      <c r="AF46" s="110" t="str">
        <f t="shared" si="0"/>
        <v>Iran</v>
      </c>
      <c r="AG46" s="138">
        <f t="shared" si="1"/>
        <v>2</v>
      </c>
      <c r="AH46" s="138">
        <f t="shared" si="2"/>
        <v>0</v>
      </c>
      <c r="AI46" s="138" t="str">
        <f t="shared" si="3"/>
        <v>Angola</v>
      </c>
      <c r="AJ46" s="138"/>
      <c r="AK46" s="138" t="str">
        <f t="shared" si="4"/>
        <v>Iran</v>
      </c>
      <c r="AL46" s="110" t="str">
        <f t="shared" si="5"/>
        <v>Angola</v>
      </c>
      <c r="AM46" s="138"/>
      <c r="AN46" s="139">
        <f>IF(AK46='The Results'!AK46,2,0)</f>
        <v>0</v>
      </c>
      <c r="AO46" s="139">
        <f>IF(AG46='The Results'!AG46,1,0)</f>
        <v>0</v>
      </c>
      <c r="AP46" s="139">
        <f>IF(AH46='The Results'!AH46,1,0)</f>
        <v>1</v>
      </c>
      <c r="AQ46" s="139">
        <f t="shared" si="7"/>
        <v>0</v>
      </c>
      <c r="AR46" s="108" t="s">
        <v>68</v>
      </c>
      <c r="AS46" s="110">
        <f>COUNTIF($AF$7:$AI$54,AR46)</f>
        <v>3</v>
      </c>
      <c r="AT46" s="108">
        <f>COUNTIF(winners,AR46)</f>
        <v>0</v>
      </c>
      <c r="AU46" s="108">
        <f>AS46-(AT46+AV46)</f>
        <v>0</v>
      </c>
      <c r="AV46" s="108">
        <f>COUNTIF(losers,AR46)</f>
        <v>3</v>
      </c>
      <c r="AW46" s="108">
        <f>SUM(TogF)</f>
        <v>2</v>
      </c>
      <c r="AX46" s="108">
        <f>SUM(TogA)</f>
        <v>7</v>
      </c>
      <c r="AY46" s="108">
        <f>SUM(AW46-AX46)</f>
        <v>-5</v>
      </c>
      <c r="AZ46" s="108">
        <f>SUM((AT46*3)+AU46)</f>
        <v>0</v>
      </c>
      <c r="BA46" s="108">
        <v>28</v>
      </c>
      <c r="BB46" s="108">
        <f>CODE(MID(AR46,2,1))</f>
        <v>111</v>
      </c>
      <c r="BC46" s="108">
        <f>CODE(AR46)</f>
        <v>84</v>
      </c>
      <c r="BD46" s="110">
        <f>SUM((AZ46*100)+(AY46*10)+(AW46)-(BC46/1000)-(BB46/10000)-(BA46/100000))</f>
        <v>-48.09538</v>
      </c>
      <c r="BE46" s="108" t="str">
        <f>AR46</f>
        <v>Togo</v>
      </c>
      <c r="BF46" s="141">
        <f>LARGE(BD43:BD46,4)</f>
        <v>-48.09538</v>
      </c>
      <c r="BG46" s="110"/>
      <c r="BH46" s="110"/>
      <c r="BI46" s="110"/>
      <c r="BJ46" s="110"/>
      <c r="BK46" s="110"/>
      <c r="BL46" s="110"/>
      <c r="BM46" s="110"/>
      <c r="BN46" s="110"/>
      <c r="BO46" s="110"/>
      <c r="BP46" s="108"/>
      <c r="BQ46" s="108"/>
      <c r="BR46" s="108"/>
      <c r="BS46" s="108"/>
      <c r="BT46" s="32"/>
      <c r="BU46" s="32"/>
    </row>
    <row r="47" spans="1:73" ht="16.5" thickBot="1">
      <c r="A47" s="51"/>
      <c r="B47" s="171" t="s">
        <v>79</v>
      </c>
      <c r="C47" s="80">
        <v>38525</v>
      </c>
      <c r="D47" s="30"/>
      <c r="E47" s="31" t="s">
        <v>27</v>
      </c>
      <c r="F47" s="78">
        <v>1</v>
      </c>
      <c r="G47" s="241">
        <v>1</v>
      </c>
      <c r="H47" s="162" t="s">
        <v>24</v>
      </c>
      <c r="I47" s="116">
        <f>IF('The Results'!F47&lt;&gt;"",SUM(AN47:AQ47),"")</f>
      </c>
      <c r="J47" s="36"/>
      <c r="K47" s="54"/>
      <c r="L47" s="4"/>
      <c r="M47" s="4"/>
      <c r="N47" s="4"/>
      <c r="O47" s="4"/>
      <c r="P47" s="4"/>
      <c r="Q47" s="4"/>
      <c r="R47" s="4"/>
      <c r="S47" s="4"/>
      <c r="T47" s="10"/>
      <c r="U47" s="10"/>
      <c r="V47" s="218"/>
      <c r="W47" s="11"/>
      <c r="X47" s="111"/>
      <c r="Y47" s="113"/>
      <c r="Z47" s="32"/>
      <c r="AA47" s="110"/>
      <c r="AB47" s="112">
        <v>41</v>
      </c>
      <c r="AC47" s="138">
        <f>SUM($F$7:G47)</f>
        <v>129</v>
      </c>
      <c r="AD47" s="138">
        <f>IF(F47="","",ABS(AC47-'The Results'!AC47))</f>
        <v>129</v>
      </c>
      <c r="AE47" s="138"/>
      <c r="AF47" s="110" t="str">
        <f t="shared" si="0"/>
        <v>Czech Republic</v>
      </c>
      <c r="AG47" s="138">
        <f t="shared" si="1"/>
        <v>1</v>
      </c>
      <c r="AH47" s="138">
        <f t="shared" si="2"/>
        <v>1</v>
      </c>
      <c r="AI47" s="138" t="str">
        <f t="shared" si="3"/>
        <v>Italy</v>
      </c>
      <c r="AJ47" s="138"/>
      <c r="AK47" s="138" t="str">
        <f t="shared" si="4"/>
        <v>draw</v>
      </c>
      <c r="AL47" s="110" t="str">
        <f t="shared" si="5"/>
        <v>draw</v>
      </c>
      <c r="AM47" s="138"/>
      <c r="AN47" s="139">
        <f>IF(AK47='The Results'!AK47,2,0)</f>
        <v>2</v>
      </c>
      <c r="AO47" s="139">
        <f>IF(AG47='The Results'!AG47,1,0)</f>
        <v>0</v>
      </c>
      <c r="AP47" s="139">
        <f>IF(AH47='The Results'!AH47,1,0)</f>
        <v>0</v>
      </c>
      <c r="AQ47" s="139">
        <f t="shared" si="7"/>
        <v>0</v>
      </c>
      <c r="BQ47" s="108"/>
      <c r="BR47" s="108"/>
      <c r="BS47" s="108"/>
      <c r="BT47" s="32"/>
      <c r="BU47" s="32"/>
    </row>
    <row r="48" spans="1:73" ht="16.5" thickBot="1">
      <c r="A48" s="51"/>
      <c r="B48" s="171" t="s">
        <v>79</v>
      </c>
      <c r="C48" s="80">
        <v>38525</v>
      </c>
      <c r="D48" s="30"/>
      <c r="E48" s="31" t="s">
        <v>63</v>
      </c>
      <c r="F48" s="242">
        <v>1</v>
      </c>
      <c r="G48" s="243">
        <v>4</v>
      </c>
      <c r="H48" s="162" t="s">
        <v>64</v>
      </c>
      <c r="I48" s="116">
        <f>IF('The Results'!F48&lt;&gt;"",SUM(AN48:AQ48),"")</f>
      </c>
      <c r="J48" s="36"/>
      <c r="K48" s="76" t="s">
        <v>85</v>
      </c>
      <c r="L48" s="87" t="s">
        <v>7</v>
      </c>
      <c r="M48" s="87" t="s">
        <v>8</v>
      </c>
      <c r="N48" s="87" t="s">
        <v>9</v>
      </c>
      <c r="O48" s="87" t="s">
        <v>10</v>
      </c>
      <c r="P48" s="87" t="s">
        <v>11</v>
      </c>
      <c r="Q48" s="87" t="s">
        <v>12</v>
      </c>
      <c r="R48" s="87" t="s">
        <v>13</v>
      </c>
      <c r="S48" s="87" t="s">
        <v>14</v>
      </c>
      <c r="T48" s="10"/>
      <c r="U48" s="10"/>
      <c r="W48" s="11"/>
      <c r="X48" s="111"/>
      <c r="Y48" s="113"/>
      <c r="Z48" s="32"/>
      <c r="AA48" s="110"/>
      <c r="AB48" s="112">
        <v>42</v>
      </c>
      <c r="AC48" s="138">
        <f>SUM($F$7:G48)</f>
        <v>134</v>
      </c>
      <c r="AD48" s="138">
        <f>IF(F48="","",ABS(AC48-'The Results'!AC48))</f>
        <v>134</v>
      </c>
      <c r="AE48" s="138"/>
      <c r="AF48" s="110" t="str">
        <f t="shared" si="0"/>
        <v>Ghana</v>
      </c>
      <c r="AG48" s="138">
        <f t="shared" si="1"/>
        <v>1</v>
      </c>
      <c r="AH48" s="138">
        <f t="shared" si="2"/>
        <v>4</v>
      </c>
      <c r="AI48" s="138" t="str">
        <f t="shared" si="3"/>
        <v>USA</v>
      </c>
      <c r="AJ48" s="138"/>
      <c r="AK48" s="138" t="str">
        <f t="shared" si="4"/>
        <v>USA</v>
      </c>
      <c r="AL48" s="110" t="str">
        <f t="shared" si="5"/>
        <v>Ghana</v>
      </c>
      <c r="AM48" s="138"/>
      <c r="AN48" s="139">
        <f>IF(AK48='The Results'!AK48,2,0)</f>
        <v>0</v>
      </c>
      <c r="AO48" s="139">
        <f>IF(AG48='The Results'!AG48,1,0)</f>
        <v>0</v>
      </c>
      <c r="AP48" s="139">
        <f>IF(AH48='The Results'!AH48,1,0)</f>
        <v>0</v>
      </c>
      <c r="AQ48" s="139">
        <f t="shared" si="7"/>
        <v>0</v>
      </c>
      <c r="AR48" s="143" t="s">
        <v>85</v>
      </c>
      <c r="AS48" s="108" t="s">
        <v>7</v>
      </c>
      <c r="AT48" s="108" t="s">
        <v>8</v>
      </c>
      <c r="AU48" s="108" t="s">
        <v>9</v>
      </c>
      <c r="AV48" s="108" t="s">
        <v>10</v>
      </c>
      <c r="AW48" s="108" t="s">
        <v>11</v>
      </c>
      <c r="AX48" s="108" t="s">
        <v>12</v>
      </c>
      <c r="AY48" s="108" t="s">
        <v>17</v>
      </c>
      <c r="AZ48" s="108" t="s">
        <v>14</v>
      </c>
      <c r="BA48" s="108"/>
      <c r="BB48" s="108"/>
      <c r="BC48" s="108"/>
      <c r="BD48" s="110"/>
      <c r="BE48" s="108"/>
      <c r="BF48" s="141"/>
      <c r="BG48" s="108"/>
      <c r="BH48" s="108"/>
      <c r="BI48" s="108"/>
      <c r="BJ48" s="108"/>
      <c r="BK48" s="108"/>
      <c r="BL48" s="108"/>
      <c r="BM48" s="108"/>
      <c r="BN48" s="108"/>
      <c r="BO48" s="108"/>
      <c r="BP48" s="108"/>
      <c r="BQ48" s="108"/>
      <c r="BR48" s="108"/>
      <c r="BS48" s="108"/>
      <c r="BT48" s="32"/>
      <c r="BU48" s="32"/>
    </row>
    <row r="49" spans="1:73" ht="16.5" thickBot="1">
      <c r="A49" s="51"/>
      <c r="B49" s="171" t="s">
        <v>79</v>
      </c>
      <c r="C49" s="80">
        <v>38525</v>
      </c>
      <c r="D49" s="30"/>
      <c r="E49" s="31" t="s">
        <v>66</v>
      </c>
      <c r="F49" s="242">
        <v>1</v>
      </c>
      <c r="G49" s="243">
        <v>2</v>
      </c>
      <c r="H49" s="162" t="s">
        <v>83</v>
      </c>
      <c r="I49" s="116">
        <f>IF('The Results'!F49&lt;&gt;"",SUM(AN49:AQ49),"")</f>
      </c>
      <c r="J49" s="36"/>
      <c r="K49" s="27" t="str">
        <f>VLOOKUP(BF49,BD49:BE52,2,FALSE)</f>
        <v>Spain</v>
      </c>
      <c r="L49" s="2">
        <f>VLOOKUP(K49,AR49:AZ52,2,FALSE)</f>
        <v>3</v>
      </c>
      <c r="M49" s="2">
        <f>VLOOKUP(K49,AR49:AZ52,3,FALSE)</f>
        <v>1</v>
      </c>
      <c r="N49" s="2">
        <f>VLOOKUP(K49,AR49:AZ52,4,FALSE)</f>
        <v>2</v>
      </c>
      <c r="O49" s="2">
        <f>VLOOKUP(K49,AR49:AZ52,5,FALSE)</f>
        <v>0</v>
      </c>
      <c r="P49" s="2">
        <f>VLOOKUP(K49,AR49:AZ52,6,FALSE)</f>
        <v>5</v>
      </c>
      <c r="Q49" s="2">
        <f>VLOOKUP(K49,AR49:AZ52,7,FALSE)</f>
        <v>3</v>
      </c>
      <c r="R49" s="2">
        <f>VLOOKUP(K49,AR49:AZ52,8,FALSE)</f>
        <v>2</v>
      </c>
      <c r="S49" s="2">
        <f>VLOOKUP(K49,AR49:AZ52,9,FALSE)</f>
        <v>5</v>
      </c>
      <c r="T49" s="84">
        <f>IF('The Results'!L49&gt;0,IF(K49='The Results'!K49,3,0),"")</f>
      </c>
      <c r="U49" s="10"/>
      <c r="W49" s="11"/>
      <c r="X49" s="111"/>
      <c r="Y49" s="113"/>
      <c r="Z49" s="32"/>
      <c r="AA49" s="110"/>
      <c r="AB49" s="112">
        <v>43</v>
      </c>
      <c r="AC49" s="138">
        <f>SUM($F$7:G49)</f>
        <v>137</v>
      </c>
      <c r="AD49" s="138">
        <f>IF(F49="","",ABS(AC49-'The Results'!AC49))</f>
        <v>137</v>
      </c>
      <c r="AE49" s="138"/>
      <c r="AF49" s="110" t="str">
        <f t="shared" si="0"/>
        <v>Japan</v>
      </c>
      <c r="AG49" s="138">
        <f aca="true" t="shared" si="8" ref="AG49:AG54">IF(ISBLANK(G49:H49),"",F49)</f>
        <v>1</v>
      </c>
      <c r="AH49" s="138">
        <f aca="true" t="shared" si="9" ref="AH49:AH54">IF(ISBLANK(J49:AG49),"",G49)</f>
        <v>2</v>
      </c>
      <c r="AI49" s="138" t="str">
        <f aca="true" t="shared" si="10" ref="AI49:AI54">IF(ISBLANK(G49),"",H49)</f>
        <v>Brazil</v>
      </c>
      <c r="AJ49" s="138"/>
      <c r="AK49" s="138" t="str">
        <f t="shared" si="4"/>
        <v>Brazil</v>
      </c>
      <c r="AL49" s="110" t="str">
        <f t="shared" si="5"/>
        <v>Japan</v>
      </c>
      <c r="AM49" s="138"/>
      <c r="AN49" s="139">
        <f>IF(AK49='The Results'!AK49,2,0)</f>
        <v>0</v>
      </c>
      <c r="AO49" s="139">
        <f>IF(AG49='The Results'!AG49,1,0)</f>
        <v>0</v>
      </c>
      <c r="AP49" s="139">
        <f>IF(AH49='The Results'!AH49,1,0)</f>
        <v>0</v>
      </c>
      <c r="AQ49" s="139">
        <f t="shared" si="7"/>
        <v>0</v>
      </c>
      <c r="AR49" s="108" t="s">
        <v>19</v>
      </c>
      <c r="AS49" s="110">
        <f>COUNTIF($AF$7:$AI$54,AR49)</f>
        <v>3</v>
      </c>
      <c r="AT49" s="108">
        <f>COUNTIF(winners,AR49)</f>
        <v>1</v>
      </c>
      <c r="AU49" s="108">
        <f>AS49-(AT49+AV49)</f>
        <v>2</v>
      </c>
      <c r="AV49" s="108">
        <f>COUNTIF(losers,AR49)</f>
        <v>0</v>
      </c>
      <c r="AW49" s="108">
        <f>SUM(SpaF)</f>
        <v>5</v>
      </c>
      <c r="AX49" s="108">
        <f>SUM(SpaA)</f>
        <v>3</v>
      </c>
      <c r="AY49" s="108">
        <f>SUM(AW49-AX49)</f>
        <v>2</v>
      </c>
      <c r="AZ49" s="108">
        <f>SUM((AT49*3)+AU49)</f>
        <v>5</v>
      </c>
      <c r="BA49" s="108">
        <v>29</v>
      </c>
      <c r="BB49" s="108">
        <f>CODE(MID(AR49,2,1))</f>
        <v>112</v>
      </c>
      <c r="BC49" s="108">
        <f>CODE(AR49)</f>
        <v>83</v>
      </c>
      <c r="BD49" s="110">
        <f>SUM((AZ49*100)+(AY49*10)+(AW49)-(BC49/1000)-(BB49/10000)-(BA49/100000))</f>
        <v>524.90551</v>
      </c>
      <c r="BE49" s="108" t="str">
        <f>AR49</f>
        <v>Spain</v>
      </c>
      <c r="BF49" s="141">
        <f>LARGE(BD49:BD52,1)</f>
        <v>524.90551</v>
      </c>
      <c r="BG49" s="110"/>
      <c r="BH49" s="110"/>
      <c r="BI49" s="110"/>
      <c r="BJ49" s="110"/>
      <c r="BK49" s="110"/>
      <c r="BL49" s="110"/>
      <c r="BM49" s="110"/>
      <c r="BN49" s="110"/>
      <c r="BO49" s="110"/>
      <c r="BP49" s="108"/>
      <c r="BQ49" s="108"/>
      <c r="BR49" s="108"/>
      <c r="BS49" s="108"/>
      <c r="BT49" s="32"/>
      <c r="BU49" s="32"/>
    </row>
    <row r="50" spans="1:73" ht="16.5" thickBot="1">
      <c r="A50" s="51"/>
      <c r="B50" s="171" t="s">
        <v>79</v>
      </c>
      <c r="C50" s="80">
        <v>38525</v>
      </c>
      <c r="D50" s="30"/>
      <c r="E50" s="31" t="s">
        <v>21</v>
      </c>
      <c r="F50" s="242">
        <v>1</v>
      </c>
      <c r="G50" s="243">
        <v>1</v>
      </c>
      <c r="H50" s="163" t="s">
        <v>65</v>
      </c>
      <c r="I50" s="116">
        <f>IF('The Results'!F50&lt;&gt;"",SUM(AN50:AQ50),"")</f>
      </c>
      <c r="J50" s="36"/>
      <c r="K50" s="27" t="str">
        <f>VLOOKUP(BF50,BD49:BE52,2,FALSE)</f>
        <v>Tunisia</v>
      </c>
      <c r="L50" s="2">
        <f>VLOOKUP(K50,AR49:AZ52,2,FALSE)</f>
        <v>3</v>
      </c>
      <c r="M50" s="2">
        <f>VLOOKUP(K50,AR49:AZ52,3,FALSE)</f>
        <v>0</v>
      </c>
      <c r="N50" s="2">
        <f>VLOOKUP(K50,AR49:AZ52,4,FALSE)</f>
        <v>3</v>
      </c>
      <c r="O50" s="2">
        <f>VLOOKUP(K50,AR49:AZ52,5,FALSE)</f>
        <v>0</v>
      </c>
      <c r="P50" s="2">
        <f>VLOOKUP(K50,AR49:AZ52,6,FALSE)</f>
        <v>5</v>
      </c>
      <c r="Q50" s="2">
        <f>VLOOKUP(K50,AR49:AZ52,7,FALSE)</f>
        <v>5</v>
      </c>
      <c r="R50" s="2">
        <f>VLOOKUP(K50,AR49:AZ52,8,FALSE)</f>
        <v>0</v>
      </c>
      <c r="S50" s="2">
        <f>VLOOKUP(K50,AR49:AZ52,9,FALSE)</f>
        <v>3</v>
      </c>
      <c r="T50" s="84">
        <f>IF('The Results'!L50&gt;0,IF(K50='The Results'!K50,3,0),"")</f>
      </c>
      <c r="U50" s="10"/>
      <c r="W50" s="11"/>
      <c r="X50" s="111"/>
      <c r="Y50" s="113"/>
      <c r="Z50" s="32"/>
      <c r="AA50" s="110"/>
      <c r="AB50" s="112">
        <v>44</v>
      </c>
      <c r="AC50" s="138">
        <f>SUM($F$7:G50)</f>
        <v>139</v>
      </c>
      <c r="AD50" s="138">
        <f>IF(F50="","",ABS(AC50-'The Results'!AC50))</f>
        <v>139</v>
      </c>
      <c r="AE50" s="138"/>
      <c r="AF50" s="110" t="str">
        <f>IF(ISBLANK(F50),"",E50)</f>
        <v>Croatia</v>
      </c>
      <c r="AG50" s="138">
        <f t="shared" si="8"/>
        <v>1</v>
      </c>
      <c r="AH50" s="138">
        <f t="shared" si="9"/>
        <v>1</v>
      </c>
      <c r="AI50" s="138" t="str">
        <f t="shared" si="10"/>
        <v>Australia</v>
      </c>
      <c r="AJ50" s="138"/>
      <c r="AK50" s="138" t="str">
        <f t="shared" si="4"/>
        <v>draw</v>
      </c>
      <c r="AL50" s="110" t="str">
        <f t="shared" si="5"/>
        <v>draw</v>
      </c>
      <c r="AM50" s="138"/>
      <c r="AN50" s="139">
        <f>IF(AK50='The Results'!AK50,2,0)</f>
        <v>2</v>
      </c>
      <c r="AO50" s="139">
        <f>IF(AG50='The Results'!AG50,1,0)</f>
        <v>0</v>
      </c>
      <c r="AP50" s="139">
        <f>IF(AH50='The Results'!AH50,1,0)</f>
        <v>0</v>
      </c>
      <c r="AQ50" s="139">
        <f t="shared" si="7"/>
        <v>0</v>
      </c>
      <c r="AR50" s="108" t="s">
        <v>69</v>
      </c>
      <c r="AS50" s="110">
        <f>COUNTIF($AF$7:$AI$54,AR50)</f>
        <v>3</v>
      </c>
      <c r="AT50" s="108">
        <f>COUNTIF(winners,AR50)</f>
        <v>0</v>
      </c>
      <c r="AU50" s="108">
        <f>AS50-(AT50+AV50)</f>
        <v>3</v>
      </c>
      <c r="AV50" s="108">
        <f>COUNTIF(losers,AR50)</f>
        <v>0</v>
      </c>
      <c r="AW50" s="108">
        <f>SUM(UkrF)</f>
        <v>3</v>
      </c>
      <c r="AX50" s="108">
        <f>SUM(UkrA)</f>
        <v>3</v>
      </c>
      <c r="AY50" s="108">
        <f>SUM(AW50-AX50)</f>
        <v>0</v>
      </c>
      <c r="AZ50" s="108">
        <f>SUM((AT50*3)+AU50)</f>
        <v>3</v>
      </c>
      <c r="BA50" s="108">
        <v>30</v>
      </c>
      <c r="BB50" s="108">
        <f>CODE(MID(AR50,2,1))</f>
        <v>107</v>
      </c>
      <c r="BC50" s="108">
        <f>CODE(AR50)</f>
        <v>85</v>
      </c>
      <c r="BD50" s="110">
        <f>SUM((AZ50*100)+(AY50*10)+(AW50)-(BC50/1000)-(BB50/10000)-(BA50/100000))</f>
        <v>302.90400000000005</v>
      </c>
      <c r="BE50" s="108" t="str">
        <f>AR50</f>
        <v>Ukraine</v>
      </c>
      <c r="BF50" s="141">
        <f>LARGE(BD49:BD52,2)</f>
        <v>304.90398999999996</v>
      </c>
      <c r="BG50" s="110"/>
      <c r="BH50" s="110"/>
      <c r="BI50" s="110"/>
      <c r="BJ50" s="110"/>
      <c r="BK50" s="110"/>
      <c r="BL50" s="110"/>
      <c r="BM50" s="110"/>
      <c r="BN50" s="110"/>
      <c r="BO50" s="110"/>
      <c r="BP50" s="108"/>
      <c r="BQ50" s="108"/>
      <c r="BR50" s="108"/>
      <c r="BS50" s="108"/>
      <c r="BT50" s="32"/>
      <c r="BU50" s="32"/>
    </row>
    <row r="51" spans="1:73" ht="16.5" thickBot="1">
      <c r="A51" s="51"/>
      <c r="B51" s="171" t="s">
        <v>73</v>
      </c>
      <c r="C51" s="80">
        <v>38526</v>
      </c>
      <c r="D51" s="30"/>
      <c r="E51" s="31" t="s">
        <v>68</v>
      </c>
      <c r="F51" s="242">
        <v>1</v>
      </c>
      <c r="G51" s="243">
        <v>2</v>
      </c>
      <c r="H51" s="162" t="s">
        <v>22</v>
      </c>
      <c r="I51" s="116">
        <f>IF('The Results'!F51&lt;&gt;"",SUM(AN51:AQ51),"")</f>
      </c>
      <c r="J51" s="36"/>
      <c r="K51" s="27" t="str">
        <f>VLOOKUP(BF51,BD49:BE52,2,FALSE)</f>
        <v>Ukraine</v>
      </c>
      <c r="L51" s="2">
        <f>VLOOKUP(K51,AR49:AZ52,2,FALSE)</f>
        <v>3</v>
      </c>
      <c r="M51" s="2">
        <f>VLOOKUP(K51,AR49:AZ52,3,FALSE)</f>
        <v>0</v>
      </c>
      <c r="N51" s="2">
        <f>VLOOKUP(K51,AR49:AZ52,4,FALSE)</f>
        <v>3</v>
      </c>
      <c r="O51" s="2">
        <f>VLOOKUP(K51,AR49:AZ52,5,FALSE)</f>
        <v>0</v>
      </c>
      <c r="P51" s="2">
        <f>VLOOKUP(K51,AR49:AZ52,6,FALSE)</f>
        <v>3</v>
      </c>
      <c r="Q51" s="2">
        <f>VLOOKUP(K51,AR49:AZ52,7,FALSE)</f>
        <v>3</v>
      </c>
      <c r="R51" s="2">
        <f>VLOOKUP(K51,AR49:AZ52,8,FALSE)</f>
        <v>0</v>
      </c>
      <c r="S51" s="2">
        <f>VLOOKUP(K51,AR49:AZ52,9,FALSE)</f>
        <v>3</v>
      </c>
      <c r="T51" s="84">
        <f>IF('The Results'!L51&gt;0,IF(K51='The Results'!K51,3,0),"")</f>
      </c>
      <c r="U51" s="10"/>
      <c r="V51" s="29"/>
      <c r="W51" s="11"/>
      <c r="X51" s="111"/>
      <c r="Y51" s="113"/>
      <c r="Z51" s="32"/>
      <c r="AA51" s="110"/>
      <c r="AB51" s="112">
        <v>45</v>
      </c>
      <c r="AC51" s="138">
        <f>SUM($F$7:G51)</f>
        <v>142</v>
      </c>
      <c r="AD51" s="138">
        <f>IF(F51="","",ABS(AC51-'The Results'!AC51))</f>
        <v>142</v>
      </c>
      <c r="AE51" s="138"/>
      <c r="AF51" s="110" t="str">
        <f>IF(ISBLANK(F51),"",E51)</f>
        <v>Togo</v>
      </c>
      <c r="AG51" s="138">
        <f t="shared" si="8"/>
        <v>1</v>
      </c>
      <c r="AH51" s="138">
        <f t="shared" si="9"/>
        <v>2</v>
      </c>
      <c r="AI51" s="138" t="str">
        <f t="shared" si="10"/>
        <v>France</v>
      </c>
      <c r="AJ51" s="138"/>
      <c r="AK51" s="138" t="str">
        <f t="shared" si="4"/>
        <v>France</v>
      </c>
      <c r="AL51" s="110" t="str">
        <f t="shared" si="5"/>
        <v>Togo</v>
      </c>
      <c r="AM51" s="138"/>
      <c r="AN51" s="139">
        <f>IF(AK51='The Results'!AK51,2,0)</f>
        <v>0</v>
      </c>
      <c r="AO51" s="139">
        <f>IF(AG51='The Results'!AG51,1,0)</f>
        <v>0</v>
      </c>
      <c r="AP51" s="139">
        <f>IF(AH51='The Results'!AH51,1,0)</f>
        <v>0</v>
      </c>
      <c r="AQ51" s="139">
        <f t="shared" si="7"/>
        <v>0</v>
      </c>
      <c r="AR51" s="108" t="s">
        <v>70</v>
      </c>
      <c r="AS51" s="110">
        <f>COUNTIF($AF$7:$AI$54,AR51)</f>
        <v>3</v>
      </c>
      <c r="AT51" s="108">
        <f>COUNTIF(winners,AR51)</f>
        <v>0</v>
      </c>
      <c r="AU51" s="108">
        <f>AS51-(AT51+AV51)</f>
        <v>3</v>
      </c>
      <c r="AV51" s="108">
        <f>COUNTIF(losers,AR51)</f>
        <v>0</v>
      </c>
      <c r="AW51" s="108">
        <f>SUM(TunF)</f>
        <v>5</v>
      </c>
      <c r="AX51" s="108">
        <f>SUM(TunA)</f>
        <v>5</v>
      </c>
      <c r="AY51" s="108">
        <f>SUM(AW51-AX51)</f>
        <v>0</v>
      </c>
      <c r="AZ51" s="108">
        <f>SUM((AT51*3)+AU51)</f>
        <v>3</v>
      </c>
      <c r="BA51" s="108">
        <v>31</v>
      </c>
      <c r="BB51" s="108">
        <f>CODE(MID(AR51,2,1))</f>
        <v>117</v>
      </c>
      <c r="BC51" s="108">
        <f>CODE(AR51)</f>
        <v>84</v>
      </c>
      <c r="BD51" s="110">
        <f>SUM((AZ51*100)+(AY51*10)+(AW51)-(BC51/1000)-(BB51/10000)-(BA51/100000))</f>
        <v>304.90398999999996</v>
      </c>
      <c r="BE51" s="108" t="str">
        <f>AR51</f>
        <v>Tunisia</v>
      </c>
      <c r="BF51" s="141">
        <f>LARGE(BD49:BD52,3)</f>
        <v>302.90400000000005</v>
      </c>
      <c r="BG51" s="110"/>
      <c r="BH51" s="110"/>
      <c r="BI51" s="110"/>
      <c r="BJ51" s="110"/>
      <c r="BK51" s="110"/>
      <c r="BL51" s="110"/>
      <c r="BM51" s="110"/>
      <c r="BN51" s="110"/>
      <c r="BO51" s="110"/>
      <c r="BP51" s="108"/>
      <c r="BQ51" s="108"/>
      <c r="BR51" s="108"/>
      <c r="BS51" s="108"/>
      <c r="BT51" s="32"/>
      <c r="BU51" s="32"/>
    </row>
    <row r="52" spans="1:73" ht="16.5" thickBot="1">
      <c r="A52" s="51"/>
      <c r="B52" s="171" t="s">
        <v>73</v>
      </c>
      <c r="C52" s="80">
        <v>38526</v>
      </c>
      <c r="D52" s="30"/>
      <c r="E52" s="31" t="s">
        <v>20</v>
      </c>
      <c r="F52" s="242">
        <v>1</v>
      </c>
      <c r="G52" s="243">
        <v>1</v>
      </c>
      <c r="H52" s="162" t="s">
        <v>67</v>
      </c>
      <c r="I52" s="116">
        <f>IF('The Results'!F52&lt;&gt;"",SUM(AN52:AQ52),"")</f>
      </c>
      <c r="J52" s="36"/>
      <c r="K52" s="27" t="str">
        <f>VLOOKUP(BF52,BD49:BE52,2,FALSE)</f>
        <v>Saudi Arabia</v>
      </c>
      <c r="L52" s="2">
        <f>VLOOKUP(K52,AR49:AZ52,2,FALSE)</f>
        <v>3</v>
      </c>
      <c r="M52" s="2">
        <f>VLOOKUP(K52,AR49:AZ52,3,FALSE)</f>
        <v>0</v>
      </c>
      <c r="N52" s="2">
        <f>VLOOKUP(K52,AR49:AZ52,4,FALSE)</f>
        <v>2</v>
      </c>
      <c r="O52" s="2">
        <f>VLOOKUP(K52,AR49:AZ52,5,FALSE)</f>
        <v>1</v>
      </c>
      <c r="P52" s="2">
        <f>VLOOKUP(K52,AR49:AZ52,6,FALSE)</f>
        <v>3</v>
      </c>
      <c r="Q52" s="2">
        <f>VLOOKUP(K52,AR49:AZ52,7,FALSE)</f>
        <v>5</v>
      </c>
      <c r="R52" s="2">
        <f>VLOOKUP(K52,AR49:AZ52,8,FALSE)</f>
        <v>-2</v>
      </c>
      <c r="S52" s="2">
        <f>VLOOKUP(K52,AR49:AZ52,9,FALSE)</f>
        <v>2</v>
      </c>
      <c r="T52" s="84">
        <f>IF('The Results'!L52&gt;0,IF(K52='The Results'!K52,3,0),"")</f>
      </c>
      <c r="U52" s="10"/>
      <c r="V52" s="29"/>
      <c r="W52" s="11"/>
      <c r="X52" s="111"/>
      <c r="Y52" s="113"/>
      <c r="Z52" s="32"/>
      <c r="AA52" s="110"/>
      <c r="AB52" s="112">
        <v>46</v>
      </c>
      <c r="AC52" s="138">
        <f>SUM($F$7:G52)</f>
        <v>144</v>
      </c>
      <c r="AD52" s="138">
        <f>IF(F52="","",ABS(AC52-'The Results'!AC52))</f>
        <v>144</v>
      </c>
      <c r="AE52" s="138"/>
      <c r="AF52" s="110" t="str">
        <f>IF(ISBLANK(F52),"",E52)</f>
        <v>Switzerland</v>
      </c>
      <c r="AG52" s="138">
        <f t="shared" si="8"/>
        <v>1</v>
      </c>
      <c r="AH52" s="138">
        <f t="shared" si="9"/>
        <v>1</v>
      </c>
      <c r="AI52" s="138" t="str">
        <f t="shared" si="10"/>
        <v>South Korea</v>
      </c>
      <c r="AJ52" s="138"/>
      <c r="AK52" s="138" t="str">
        <f t="shared" si="4"/>
        <v>draw</v>
      </c>
      <c r="AL52" s="110" t="str">
        <f t="shared" si="5"/>
        <v>draw</v>
      </c>
      <c r="AM52" s="138"/>
      <c r="AN52" s="139">
        <f>IF(AK52='The Results'!AK52,2,0)</f>
        <v>2</v>
      </c>
      <c r="AO52" s="139">
        <f>IF(AG52='The Results'!AG52,1,0)</f>
        <v>0</v>
      </c>
      <c r="AP52" s="139">
        <f>IF(AH52='The Results'!AH52,1,0)</f>
        <v>0</v>
      </c>
      <c r="AQ52" s="139">
        <f t="shared" si="7"/>
        <v>0</v>
      </c>
      <c r="AR52" s="108" t="s">
        <v>71</v>
      </c>
      <c r="AS52" s="110">
        <f>COUNTIF($AF$7:$AI$54,AR52)</f>
        <v>3</v>
      </c>
      <c r="AT52" s="108">
        <f>COUNTIF(winners,AR52)</f>
        <v>0</v>
      </c>
      <c r="AU52" s="108">
        <f>AS52-(AT52+AV52)</f>
        <v>2</v>
      </c>
      <c r="AV52" s="108">
        <f>COUNTIF(losers,AR52)</f>
        <v>1</v>
      </c>
      <c r="AW52" s="108">
        <f>SUM(SauF)</f>
        <v>3</v>
      </c>
      <c r="AX52" s="108">
        <f>SUM(SauA)</f>
        <v>5</v>
      </c>
      <c r="AY52" s="108">
        <f>SUM(AW52-AX52)</f>
        <v>-2</v>
      </c>
      <c r="AZ52" s="108">
        <f>SUM((AT52*3)+AU52)</f>
        <v>2</v>
      </c>
      <c r="BA52" s="108">
        <v>32</v>
      </c>
      <c r="BB52" s="108">
        <f>CODE(MID(AR52,2,1))</f>
        <v>97</v>
      </c>
      <c r="BC52" s="108">
        <f>CODE(AR52)</f>
        <v>83</v>
      </c>
      <c r="BD52" s="110">
        <f>SUM((AZ52*100)+(AY52*10)+(AW52)-(BC52/1000)-(BB52/10000)-(BA52/100000))</f>
        <v>182.90698</v>
      </c>
      <c r="BE52" s="108" t="str">
        <f>AR52</f>
        <v>Saudi Arabia</v>
      </c>
      <c r="BF52" s="141">
        <f>LARGE(BD49:BD52,4)</f>
        <v>182.90698</v>
      </c>
      <c r="BG52" s="110"/>
      <c r="BH52" s="110"/>
      <c r="BI52" s="110"/>
      <c r="BJ52" s="110"/>
      <c r="BK52" s="110"/>
      <c r="BL52" s="110"/>
      <c r="BM52" s="110"/>
      <c r="BN52" s="110"/>
      <c r="BO52" s="110"/>
      <c r="BP52" s="108"/>
      <c r="BQ52" s="108"/>
      <c r="BR52" s="108"/>
      <c r="BS52" s="108"/>
      <c r="BT52" s="32"/>
      <c r="BU52" s="32"/>
    </row>
    <row r="53" spans="1:73" ht="16.5" thickBot="1">
      <c r="A53" s="51"/>
      <c r="B53" s="171" t="s">
        <v>73</v>
      </c>
      <c r="C53" s="80">
        <v>38526</v>
      </c>
      <c r="D53" s="30"/>
      <c r="E53" s="31" t="s">
        <v>71</v>
      </c>
      <c r="F53" s="242">
        <v>0</v>
      </c>
      <c r="G53" s="243">
        <v>2</v>
      </c>
      <c r="H53" s="162" t="s">
        <v>19</v>
      </c>
      <c r="I53" s="116">
        <f>IF('The Results'!F53&lt;&gt;"",SUM(AN53:AQ53),"")</f>
      </c>
      <c r="J53" s="36"/>
      <c r="K53" s="54"/>
      <c r="L53" s="4"/>
      <c r="M53" s="4"/>
      <c r="N53" s="4"/>
      <c r="O53" s="4"/>
      <c r="P53" s="4"/>
      <c r="Q53" s="4"/>
      <c r="R53" s="4"/>
      <c r="S53" s="4"/>
      <c r="T53" s="10"/>
      <c r="U53" s="10"/>
      <c r="V53" s="29"/>
      <c r="W53" s="11"/>
      <c r="X53" s="111"/>
      <c r="Y53" s="113"/>
      <c r="Z53" s="32"/>
      <c r="AA53" s="110"/>
      <c r="AB53" s="112">
        <v>47</v>
      </c>
      <c r="AC53" s="138">
        <f>SUM($F$7:G53)</f>
        <v>146</v>
      </c>
      <c r="AD53" s="138">
        <f>IF(F53="","",ABS(AC53-'The Results'!AC53))</f>
        <v>146</v>
      </c>
      <c r="AE53" s="138"/>
      <c r="AF53" s="110" t="str">
        <f>IF(ISBLANK(F53),"",E53)</f>
        <v>Saudi Arabia</v>
      </c>
      <c r="AG53" s="138">
        <f t="shared" si="8"/>
        <v>0</v>
      </c>
      <c r="AH53" s="138">
        <f t="shared" si="9"/>
        <v>2</v>
      </c>
      <c r="AI53" s="138" t="str">
        <f t="shared" si="10"/>
        <v>Spain</v>
      </c>
      <c r="AJ53" s="138"/>
      <c r="AK53" s="138" t="str">
        <f t="shared" si="4"/>
        <v>Spain</v>
      </c>
      <c r="AL53" s="110" t="str">
        <f t="shared" si="5"/>
        <v>Saudi Arabia</v>
      </c>
      <c r="AM53" s="138"/>
      <c r="AN53" s="139">
        <f>IF(AK53='The Results'!AK53,2,0)</f>
        <v>0</v>
      </c>
      <c r="AO53" s="139">
        <f>IF(AG53='The Results'!AG53,1,0)</f>
        <v>1</v>
      </c>
      <c r="AP53" s="139">
        <f>IF(AH53='The Results'!AH53,1,0)</f>
        <v>0</v>
      </c>
      <c r="AQ53" s="139">
        <f t="shared" si="7"/>
        <v>0</v>
      </c>
      <c r="BP53" s="108"/>
      <c r="BQ53" s="108"/>
      <c r="BR53" s="108"/>
      <c r="BS53" s="108"/>
      <c r="BT53" s="32"/>
      <c r="BU53" s="32"/>
    </row>
    <row r="54" spans="1:73" ht="16.5" thickBot="1">
      <c r="A54" s="51"/>
      <c r="B54" s="171" t="s">
        <v>73</v>
      </c>
      <c r="C54" s="80">
        <v>38526</v>
      </c>
      <c r="D54" s="30"/>
      <c r="E54" s="31" t="s">
        <v>69</v>
      </c>
      <c r="F54" s="242">
        <v>1</v>
      </c>
      <c r="G54" s="243">
        <v>1</v>
      </c>
      <c r="H54" s="162" t="s">
        <v>70</v>
      </c>
      <c r="I54" s="116">
        <f>IF('The Results'!F54&lt;&gt;"",SUM(AN54:AQ54),"")</f>
      </c>
      <c r="J54" s="36"/>
      <c r="K54" s="54"/>
      <c r="L54" s="4"/>
      <c r="M54" s="4"/>
      <c r="N54" s="4"/>
      <c r="O54" s="4"/>
      <c r="P54" s="4"/>
      <c r="Q54" s="4"/>
      <c r="R54" s="4"/>
      <c r="S54" s="4"/>
      <c r="T54" s="10"/>
      <c r="U54" s="10"/>
      <c r="V54" s="29"/>
      <c r="W54" s="11"/>
      <c r="X54" s="111"/>
      <c r="Y54" s="113"/>
      <c r="Z54" s="32"/>
      <c r="AA54" s="110"/>
      <c r="AB54" s="112">
        <v>48</v>
      </c>
      <c r="AC54" s="138">
        <f>SUM($F$7:G54)</f>
        <v>148</v>
      </c>
      <c r="AD54" s="138">
        <f>IF(F54="","",ABS(AC54-'The Results'!AC54))</f>
        <v>148</v>
      </c>
      <c r="AE54" s="138"/>
      <c r="AF54" s="110" t="str">
        <f>IF(ISBLANK(F54),"",E54)</f>
        <v>Ukraine</v>
      </c>
      <c r="AG54" s="138">
        <f t="shared" si="8"/>
        <v>1</v>
      </c>
      <c r="AH54" s="138">
        <f t="shared" si="9"/>
        <v>1</v>
      </c>
      <c r="AI54" s="138" t="str">
        <f t="shared" si="10"/>
        <v>Tunisia</v>
      </c>
      <c r="AJ54" s="138"/>
      <c r="AK54" s="138" t="str">
        <f t="shared" si="4"/>
        <v>draw</v>
      </c>
      <c r="AL54" s="110" t="str">
        <f t="shared" si="5"/>
        <v>draw</v>
      </c>
      <c r="AM54" s="138"/>
      <c r="AN54" s="139">
        <f>IF(AK54='The Results'!AK54,2,0)</f>
        <v>2</v>
      </c>
      <c r="AO54" s="139">
        <f>IF(AG54='The Results'!AG54,1,0)</f>
        <v>0</v>
      </c>
      <c r="AP54" s="139">
        <f>IF(AH54='The Results'!AH54,1,0)</f>
        <v>0</v>
      </c>
      <c r="AQ54" s="139">
        <f t="shared" si="7"/>
        <v>0</v>
      </c>
      <c r="BP54" s="108"/>
      <c r="BQ54" s="108"/>
      <c r="BR54" s="108"/>
      <c r="BS54" s="108"/>
      <c r="BT54" s="32"/>
      <c r="BU54" s="32"/>
    </row>
    <row r="55" spans="1:73" ht="18.75">
      <c r="A55" s="51"/>
      <c r="B55" s="5"/>
      <c r="C55" s="80"/>
      <c r="D55" s="30"/>
      <c r="E55" s="39">
        <f>IF(AD6&gt;0,CONCATENATE("So far ",('The Results'!AE7)," first round goals were scored."),"")</f>
      </c>
      <c r="F55" s="83"/>
      <c r="G55" s="83"/>
      <c r="I55" s="98" t="s">
        <v>46</v>
      </c>
      <c r="J55" s="36"/>
      <c r="K55" s="54"/>
      <c r="L55" s="4"/>
      <c r="M55" s="4"/>
      <c r="N55" s="4"/>
      <c r="O55" s="4"/>
      <c r="P55" s="4"/>
      <c r="Q55" s="4"/>
      <c r="R55" s="4"/>
      <c r="S55" s="4"/>
      <c r="T55" s="10"/>
      <c r="U55" s="10"/>
      <c r="V55" s="29"/>
      <c r="W55" s="11"/>
      <c r="X55" s="111"/>
      <c r="Y55" s="113"/>
      <c r="Z55" s="32"/>
      <c r="AA55" s="110"/>
      <c r="AB55" s="138"/>
      <c r="AC55" s="138"/>
      <c r="AD55" s="138"/>
      <c r="AE55" s="138"/>
      <c r="AF55" s="110"/>
      <c r="AG55" s="138"/>
      <c r="AH55" s="138"/>
      <c r="AI55" s="138"/>
      <c r="AJ55" s="138"/>
      <c r="AK55" s="138"/>
      <c r="AL55" s="110"/>
      <c r="AM55" s="138"/>
      <c r="AN55" s="139"/>
      <c r="AO55" s="139"/>
      <c r="AP55" s="139"/>
      <c r="AQ55" s="139"/>
      <c r="BP55" s="108"/>
      <c r="BQ55" s="108"/>
      <c r="BR55" s="108"/>
      <c r="BS55" s="108"/>
      <c r="BT55" s="32"/>
      <c r="BU55" s="32"/>
    </row>
    <row r="56" spans="1:73" ht="18.75">
      <c r="A56" s="51"/>
      <c r="B56" s="5"/>
      <c r="C56" s="80"/>
      <c r="D56" s="30"/>
      <c r="E56" s="39">
        <f>IF(AD6&gt;0,CONCATENATE("You are out by ",ABS(AE7)," goals."),"")</f>
      </c>
      <c r="F56" s="83"/>
      <c r="G56" s="83"/>
      <c r="I56" s="98">
        <f>IF(AD6&gt;0,-SUM(ABS(AE7)/10),0)</f>
        <v>0</v>
      </c>
      <c r="K56" s="54"/>
      <c r="L56" s="4"/>
      <c r="M56" s="4"/>
      <c r="N56" s="4"/>
      <c r="O56" s="4"/>
      <c r="P56" s="4"/>
      <c r="Q56" s="4"/>
      <c r="R56" s="4"/>
      <c r="S56" s="4"/>
      <c r="T56" s="10"/>
      <c r="U56" s="10"/>
      <c r="V56" s="29"/>
      <c r="W56" s="11"/>
      <c r="X56" s="111"/>
      <c r="Y56" s="113"/>
      <c r="Z56" s="32"/>
      <c r="AA56" s="110"/>
      <c r="AB56" s="138"/>
      <c r="AC56" s="138"/>
      <c r="AD56" s="138"/>
      <c r="AE56" s="138"/>
      <c r="AF56" s="110"/>
      <c r="AG56" s="138"/>
      <c r="AH56" s="138"/>
      <c r="AI56" s="138"/>
      <c r="AJ56" s="138"/>
      <c r="AK56" s="138"/>
      <c r="AL56" s="110"/>
      <c r="AM56" s="138"/>
      <c r="AN56" s="139"/>
      <c r="AO56" s="139"/>
      <c r="AP56" s="139"/>
      <c r="AQ56" s="139"/>
      <c r="BP56" s="108"/>
      <c r="BQ56" s="108"/>
      <c r="BR56" s="108"/>
      <c r="BS56" s="108"/>
      <c r="BT56" s="32"/>
      <c r="BU56" s="32"/>
    </row>
    <row r="57" spans="1:73" ht="19.5">
      <c r="A57" s="51"/>
      <c r="B57" s="100" t="s">
        <v>80</v>
      </c>
      <c r="C57" s="80"/>
      <c r="D57" s="30"/>
      <c r="E57" s="39"/>
      <c r="F57" s="83"/>
      <c r="G57" s="83"/>
      <c r="I57" s="98"/>
      <c r="K57" s="100" t="s">
        <v>94</v>
      </c>
      <c r="L57" s="4"/>
      <c r="M57" s="4"/>
      <c r="N57" s="4"/>
      <c r="O57" s="4"/>
      <c r="P57" s="4"/>
      <c r="Q57" s="4"/>
      <c r="R57" s="4"/>
      <c r="S57" s="230" t="s">
        <v>103</v>
      </c>
      <c r="T57" s="10"/>
      <c r="U57" s="10"/>
      <c r="V57" s="29"/>
      <c r="W57" s="11"/>
      <c r="X57" s="111"/>
      <c r="Y57" s="113"/>
      <c r="Z57" s="32"/>
      <c r="AA57" s="110"/>
      <c r="AB57" s="138"/>
      <c r="AC57" s="138"/>
      <c r="AD57" s="138"/>
      <c r="AE57" s="138"/>
      <c r="AF57" s="110"/>
      <c r="AG57" s="138"/>
      <c r="AH57" s="138"/>
      <c r="AI57" s="138"/>
      <c r="AJ57" s="138"/>
      <c r="AK57" s="138"/>
      <c r="AL57" s="110"/>
      <c r="AM57" s="138"/>
      <c r="AN57" s="139"/>
      <c r="AO57" s="139"/>
      <c r="AP57" s="139"/>
      <c r="AQ57" s="139"/>
      <c r="BP57" s="108"/>
      <c r="BQ57" s="108"/>
      <c r="BR57" s="108"/>
      <c r="BS57" s="108"/>
      <c r="BT57" s="32"/>
      <c r="BU57" s="32"/>
    </row>
    <row r="58" spans="1:73" ht="17.25" customHeight="1" thickBot="1">
      <c r="A58" s="51"/>
      <c r="B58" s="75"/>
      <c r="C58" s="81" t="s">
        <v>5</v>
      </c>
      <c r="D58" s="172"/>
      <c r="E58" s="173"/>
      <c r="F58" s="174"/>
      <c r="G58" s="174"/>
      <c r="H58" s="175"/>
      <c r="I58" s="176"/>
      <c r="K58" s="214" t="s">
        <v>95</v>
      </c>
      <c r="L58" s="213"/>
      <c r="M58" s="213"/>
      <c r="N58" s="213"/>
      <c r="O58" s="213"/>
      <c r="P58" s="213"/>
      <c r="Q58" s="213"/>
      <c r="R58" s="213"/>
      <c r="S58" s="213"/>
      <c r="T58" s="10"/>
      <c r="U58" s="10"/>
      <c r="V58" s="29"/>
      <c r="W58" s="11"/>
      <c r="X58" s="111"/>
      <c r="Y58" s="113"/>
      <c r="Z58" s="32"/>
      <c r="AA58" s="110">
        <v>16</v>
      </c>
      <c r="AB58" s="138"/>
      <c r="AC58" s="138" t="s">
        <v>90</v>
      </c>
      <c r="AD58" s="138"/>
      <c r="AE58" s="138"/>
      <c r="AF58" s="138"/>
      <c r="AG58" s="138"/>
      <c r="AH58" s="138"/>
      <c r="AI58" s="138"/>
      <c r="AJ58" s="138"/>
      <c r="AK58" s="138"/>
      <c r="AL58" s="110"/>
      <c r="AM58" s="138"/>
      <c r="AN58" s="139"/>
      <c r="AO58" s="139"/>
      <c r="AP58" s="139"/>
      <c r="AQ58" s="139"/>
      <c r="BP58" s="108"/>
      <c r="BQ58" s="108"/>
      <c r="BR58" s="108"/>
      <c r="BS58" s="108"/>
      <c r="BT58" s="32"/>
      <c r="BU58" s="32"/>
    </row>
    <row r="59" spans="1:73" ht="16.5" thickBot="1">
      <c r="A59" s="178">
        <v>1</v>
      </c>
      <c r="B59" s="5" t="s">
        <v>74</v>
      </c>
      <c r="C59" s="80">
        <v>38527</v>
      </c>
      <c r="D59" s="244" t="str">
        <f>IF((F59=G59),"pen","")</f>
        <v>pen</v>
      </c>
      <c r="E59" s="9" t="str">
        <f>IF(SUM(L7:L10)=12,K7,"Winner A")</f>
        <v>Germany</v>
      </c>
      <c r="F59" s="78">
        <v>2</v>
      </c>
      <c r="G59" s="78">
        <v>2</v>
      </c>
      <c r="H59" s="165" t="str">
        <f>IF(SUM(L13:L16)=12,K14,"Runner-Up B")</f>
        <v>England</v>
      </c>
      <c r="I59" s="251"/>
      <c r="K59" s="240" t="s">
        <v>24</v>
      </c>
      <c r="L59" s="4"/>
      <c r="M59" s="4"/>
      <c r="N59" s="4"/>
      <c r="O59" s="4"/>
      <c r="P59" s="4"/>
      <c r="Q59" s="4"/>
      <c r="R59" s="4"/>
      <c r="S59" s="4"/>
      <c r="T59" s="10"/>
      <c r="U59" s="10"/>
      <c r="V59" s="29"/>
      <c r="W59" s="11"/>
      <c r="X59" s="111"/>
      <c r="Y59" s="113"/>
      <c r="Z59" s="32"/>
      <c r="AA59" s="138" t="str">
        <f>IF(F59&gt;G59,E59,IF(G59&gt;F59,H59,"draw"))</f>
        <v>draw</v>
      </c>
      <c r="AB59" s="138"/>
      <c r="AC59" s="138" t="str">
        <f>IF(D59&gt;I59,E59,IF(I59&gt;D59,H59,"Winner Match 1"))</f>
        <v>Germany</v>
      </c>
      <c r="AD59" s="138"/>
      <c r="AE59" s="138"/>
      <c r="AF59" s="138"/>
      <c r="AG59" s="138"/>
      <c r="AH59" s="138"/>
      <c r="AI59" s="138"/>
      <c r="AJ59" s="138"/>
      <c r="AK59" s="138"/>
      <c r="AL59" s="110"/>
      <c r="AM59" s="138"/>
      <c r="AN59" s="139"/>
      <c r="AO59" s="139"/>
      <c r="AP59" s="139"/>
      <c r="AQ59" s="139"/>
      <c r="AR59" s="108"/>
      <c r="AS59" s="110"/>
      <c r="AT59" s="108"/>
      <c r="AU59" s="108"/>
      <c r="AV59" s="108"/>
      <c r="AW59" s="108"/>
      <c r="AX59" s="108"/>
      <c r="AY59" s="108"/>
      <c r="AZ59" s="108"/>
      <c r="BA59" s="108"/>
      <c r="BB59" s="108"/>
      <c r="BC59" s="108"/>
      <c r="BD59" s="110"/>
      <c r="BE59" s="108"/>
      <c r="BF59" s="136"/>
      <c r="BG59" s="108"/>
      <c r="BH59" s="108"/>
      <c r="BI59" s="108"/>
      <c r="BJ59" s="108"/>
      <c r="BK59" s="108"/>
      <c r="BL59" s="108"/>
      <c r="BM59" s="108"/>
      <c r="BN59" s="108"/>
      <c r="BO59" s="108"/>
      <c r="BP59" s="108"/>
      <c r="BQ59" s="108"/>
      <c r="BR59" s="108"/>
      <c r="BS59" s="108"/>
      <c r="BT59" s="32"/>
      <c r="BU59" s="32"/>
    </row>
    <row r="60" spans="1:73" ht="16.5" thickBot="1">
      <c r="A60" s="178">
        <v>2</v>
      </c>
      <c r="B60" s="5" t="s">
        <v>74</v>
      </c>
      <c r="C60" s="80">
        <v>38527</v>
      </c>
      <c r="D60" s="244">
        <f aca="true" t="shared" si="11" ref="D60:D66">IF((F60=G60),"pen","")</f>
      </c>
      <c r="E60" s="9" t="str">
        <f>IF(SUM(L19:L22)=12,K19,"Winner C")</f>
        <v>Argentina</v>
      </c>
      <c r="F60" s="78">
        <v>2</v>
      </c>
      <c r="G60" s="78">
        <v>1</v>
      </c>
      <c r="H60" s="165" t="str">
        <f>IF(SUM(L25:L28)=12,K26,"Runner-Up D")</f>
        <v>Mexico</v>
      </c>
      <c r="I60" s="251"/>
      <c r="K60" s="54"/>
      <c r="L60" s="4"/>
      <c r="M60" s="4"/>
      <c r="N60" s="4"/>
      <c r="O60" s="4"/>
      <c r="P60" s="4"/>
      <c r="Q60" s="4"/>
      <c r="R60" s="4"/>
      <c r="S60" s="4"/>
      <c r="T60" s="10"/>
      <c r="U60" s="10"/>
      <c r="V60" s="29"/>
      <c r="W60" s="11"/>
      <c r="X60" s="111"/>
      <c r="Y60" s="113"/>
      <c r="Z60" s="32"/>
      <c r="AA60" s="138" t="str">
        <f aca="true" t="shared" si="12" ref="AA60:AA66">IF(F60&gt;G60,E60,IF(G60&gt;F60,H60,"draw"))</f>
        <v>Argentina</v>
      </c>
      <c r="AB60" s="138"/>
      <c r="AC60" s="138" t="str">
        <f>IF(D60&gt;I60,E60,IF(I60&gt;D60,H60,"Winner Match 2"))</f>
        <v>Winner Match 2</v>
      </c>
      <c r="AD60" s="138"/>
      <c r="AE60" s="138"/>
      <c r="AF60" s="138"/>
      <c r="AG60" s="138"/>
      <c r="AH60" s="138"/>
      <c r="AI60" s="138"/>
      <c r="AJ60" s="138"/>
      <c r="AK60" s="138"/>
      <c r="AL60" s="110"/>
      <c r="AM60" s="138"/>
      <c r="AN60" s="139"/>
      <c r="AO60" s="139"/>
      <c r="AP60" s="139"/>
      <c r="AQ60" s="139"/>
      <c r="AR60" s="108"/>
      <c r="AS60" s="110"/>
      <c r="AT60" s="108"/>
      <c r="AU60" s="108"/>
      <c r="AV60" s="108"/>
      <c r="AW60" s="108"/>
      <c r="AX60" s="108"/>
      <c r="AY60" s="108"/>
      <c r="AZ60" s="108"/>
      <c r="BA60" s="108"/>
      <c r="BB60" s="108"/>
      <c r="BC60" s="108"/>
      <c r="BD60" s="110"/>
      <c r="BE60" s="108"/>
      <c r="BF60" s="136"/>
      <c r="BG60" s="108"/>
      <c r="BH60" s="108"/>
      <c r="BI60" s="108"/>
      <c r="BJ60" s="108"/>
      <c r="BK60" s="108"/>
      <c r="BL60" s="108"/>
      <c r="BM60" s="108"/>
      <c r="BN60" s="108"/>
      <c r="BO60" s="108"/>
      <c r="BP60" s="108"/>
      <c r="BQ60" s="108"/>
      <c r="BR60" s="108"/>
      <c r="BS60" s="108"/>
      <c r="BT60" s="32"/>
      <c r="BU60" s="32"/>
    </row>
    <row r="61" spans="1:73" ht="16.5" thickBot="1">
      <c r="A61" s="178">
        <v>3</v>
      </c>
      <c r="B61" s="5" t="s">
        <v>75</v>
      </c>
      <c r="C61" s="80">
        <v>38528</v>
      </c>
      <c r="D61" s="244">
        <f t="shared" si="11"/>
      </c>
      <c r="E61" s="9" t="str">
        <f>IF(SUM(L13:L16)=12,K13,"Winner B")</f>
        <v>Sweden</v>
      </c>
      <c r="F61" s="78">
        <v>3</v>
      </c>
      <c r="G61" s="78">
        <v>1</v>
      </c>
      <c r="H61" s="165" t="str">
        <f>IF(SUM(L7:L10)=12,K8,"Runner-Up A")</f>
        <v>Poland</v>
      </c>
      <c r="I61" s="251">
        <f aca="true" t="shared" si="13" ref="I60:I66">IF((F61=G61),"pen","")</f>
      </c>
      <c r="K61" s="214" t="s">
        <v>102</v>
      </c>
      <c r="L61" s="213"/>
      <c r="M61" s="213"/>
      <c r="N61" s="213"/>
      <c r="O61" s="213"/>
      <c r="P61" s="213"/>
      <c r="Q61" s="213"/>
      <c r="R61" s="213"/>
      <c r="S61" s="213"/>
      <c r="T61" s="10"/>
      <c r="U61" s="10"/>
      <c r="V61" s="29"/>
      <c r="W61" s="11"/>
      <c r="X61" s="111"/>
      <c r="Y61" s="113"/>
      <c r="Z61" s="32"/>
      <c r="AA61" s="138" t="str">
        <f t="shared" si="12"/>
        <v>Sweden</v>
      </c>
      <c r="AB61" s="138"/>
      <c r="AC61" s="138" t="str">
        <f>IF(D61&gt;I61,E61,IF(I61&gt;D61,H61,"Winner Match 3"))</f>
        <v>Winner Match 3</v>
      </c>
      <c r="AD61" s="138"/>
      <c r="AE61" s="138"/>
      <c r="AF61" s="138"/>
      <c r="AG61" s="138"/>
      <c r="AH61" s="138"/>
      <c r="AI61" s="138"/>
      <c r="AJ61" s="138"/>
      <c r="AK61" s="138"/>
      <c r="AL61" s="110"/>
      <c r="AM61" s="138"/>
      <c r="AN61" s="139"/>
      <c r="AO61" s="139"/>
      <c r="AP61" s="139"/>
      <c r="AQ61" s="139"/>
      <c r="AR61" s="108"/>
      <c r="AS61" s="110"/>
      <c r="AT61" s="108"/>
      <c r="AU61" s="108"/>
      <c r="AV61" s="108"/>
      <c r="AW61" s="108"/>
      <c r="AX61" s="108"/>
      <c r="AY61" s="108"/>
      <c r="AZ61" s="108"/>
      <c r="BA61" s="108"/>
      <c r="BB61" s="108"/>
      <c r="BC61" s="108"/>
      <c r="BD61" s="110"/>
      <c r="BE61" s="108"/>
      <c r="BF61" s="136"/>
      <c r="BG61" s="108"/>
      <c r="BH61" s="108"/>
      <c r="BI61" s="108"/>
      <c r="BJ61" s="108"/>
      <c r="BK61" s="108"/>
      <c r="BL61" s="108"/>
      <c r="BM61" s="108"/>
      <c r="BN61" s="108"/>
      <c r="BO61" s="108"/>
      <c r="BP61" s="108"/>
      <c r="BQ61" s="108"/>
      <c r="BR61" s="108"/>
      <c r="BS61" s="108"/>
      <c r="BT61" s="32"/>
      <c r="BU61" s="32"/>
    </row>
    <row r="62" spans="1:73" ht="16.5" thickBot="1">
      <c r="A62" s="178">
        <v>4</v>
      </c>
      <c r="B62" s="5" t="s">
        <v>75</v>
      </c>
      <c r="C62" s="80">
        <v>38528</v>
      </c>
      <c r="D62" s="244">
        <f t="shared" si="11"/>
      </c>
      <c r="E62" s="9" t="str">
        <f>IF(SUM(L25:L28)=12,K25,"Winner D")</f>
        <v>Portugal</v>
      </c>
      <c r="F62" s="78">
        <v>2</v>
      </c>
      <c r="G62" s="78">
        <v>1</v>
      </c>
      <c r="H62" s="165" t="str">
        <f>IF(SUM(L19:L22)=12,K20,"Runner-Up C")</f>
        <v>Holland</v>
      </c>
      <c r="I62" s="251">
        <f t="shared" si="13"/>
      </c>
      <c r="K62" s="240" t="s">
        <v>27</v>
      </c>
      <c r="L62" s="4"/>
      <c r="M62" s="4"/>
      <c r="N62" s="4"/>
      <c r="O62" s="4"/>
      <c r="P62" s="4"/>
      <c r="Q62" s="4"/>
      <c r="R62" s="4"/>
      <c r="S62" s="4"/>
      <c r="T62" s="10"/>
      <c r="U62" s="10"/>
      <c r="V62" s="29"/>
      <c r="W62" s="11"/>
      <c r="X62" s="111"/>
      <c r="Y62" s="113"/>
      <c r="Z62" s="32"/>
      <c r="AA62" s="138" t="str">
        <f t="shared" si="12"/>
        <v>Portugal</v>
      </c>
      <c r="AB62" s="138"/>
      <c r="AC62" s="138" t="str">
        <f>IF(D62&gt;I62,E62,IF(I62&gt;D62,H62,"Winner Match 4"))</f>
        <v>Winner Match 4</v>
      </c>
      <c r="AD62" s="138"/>
      <c r="AE62" s="138"/>
      <c r="AF62" s="138"/>
      <c r="AG62" s="138"/>
      <c r="AH62" s="138"/>
      <c r="AI62" s="138"/>
      <c r="AJ62" s="138"/>
      <c r="AK62" s="138"/>
      <c r="AL62" s="110"/>
      <c r="AM62" s="138"/>
      <c r="AN62" s="139"/>
      <c r="AO62" s="139"/>
      <c r="AP62" s="139"/>
      <c r="AQ62" s="139"/>
      <c r="AR62" s="108"/>
      <c r="AS62" s="110"/>
      <c r="AT62" s="108"/>
      <c r="AU62" s="108"/>
      <c r="AV62" s="108"/>
      <c r="AW62" s="108"/>
      <c r="AX62" s="108"/>
      <c r="AY62" s="108"/>
      <c r="AZ62" s="108"/>
      <c r="BA62" s="108"/>
      <c r="BB62" s="108"/>
      <c r="BC62" s="108"/>
      <c r="BD62" s="110"/>
      <c r="BE62" s="108"/>
      <c r="BF62" s="136"/>
      <c r="BG62" s="108"/>
      <c r="BH62" s="108"/>
      <c r="BI62" s="108"/>
      <c r="BJ62" s="108"/>
      <c r="BK62" s="108"/>
      <c r="BL62" s="108"/>
      <c r="BM62" s="108"/>
      <c r="BN62" s="108"/>
      <c r="BO62" s="108"/>
      <c r="BP62" s="108"/>
      <c r="BQ62" s="108"/>
      <c r="BR62" s="108"/>
      <c r="BS62" s="108"/>
      <c r="BT62" s="32"/>
      <c r="BU62" s="32"/>
    </row>
    <row r="63" spans="1:73" ht="16.5" thickBot="1">
      <c r="A63" s="178">
        <v>5</v>
      </c>
      <c r="B63" s="5" t="s">
        <v>76</v>
      </c>
      <c r="C63" s="80">
        <v>38529</v>
      </c>
      <c r="D63" s="244">
        <f t="shared" si="11"/>
      </c>
      <c r="E63" s="9" t="str">
        <f>IF(SUM(L31:L34)=12,K31,"Winner E")</f>
        <v>USA</v>
      </c>
      <c r="F63" s="78">
        <v>1</v>
      </c>
      <c r="G63" s="78">
        <v>0</v>
      </c>
      <c r="H63" s="165" t="str">
        <f>IF(SUM(L37:L40)=12,K38,"Runner-Up F")</f>
        <v>Croatia</v>
      </c>
      <c r="I63" s="251">
        <f t="shared" si="13"/>
      </c>
      <c r="K63" s="54"/>
      <c r="L63" s="4"/>
      <c r="M63" s="4"/>
      <c r="N63" s="4"/>
      <c r="O63" s="4"/>
      <c r="P63" s="4"/>
      <c r="Q63" s="4"/>
      <c r="R63" s="4"/>
      <c r="S63" s="4"/>
      <c r="T63" s="10"/>
      <c r="U63" s="10"/>
      <c r="V63" s="29"/>
      <c r="W63" s="11"/>
      <c r="X63" s="111"/>
      <c r="Y63" s="113"/>
      <c r="Z63" s="32"/>
      <c r="AA63" s="138" t="str">
        <f t="shared" si="12"/>
        <v>USA</v>
      </c>
      <c r="AB63" s="138"/>
      <c r="AC63" s="138" t="str">
        <f>IF(D63&gt;I63,E63,IF(I63&gt;D63,H63,"Winner Match 5"))</f>
        <v>Winner Match 5</v>
      </c>
      <c r="AD63" s="138"/>
      <c r="AE63" s="138"/>
      <c r="AF63" s="138"/>
      <c r="AG63" s="138"/>
      <c r="AH63" s="138"/>
      <c r="AI63" s="138"/>
      <c r="AJ63" s="138"/>
      <c r="AK63" s="138"/>
      <c r="AL63" s="110"/>
      <c r="AM63" s="138"/>
      <c r="AN63" s="139"/>
      <c r="AO63" s="139"/>
      <c r="AP63" s="139"/>
      <c r="AQ63" s="139"/>
      <c r="AR63" s="108"/>
      <c r="AS63" s="110"/>
      <c r="AT63" s="108"/>
      <c r="AU63" s="108"/>
      <c r="AV63" s="108"/>
      <c r="AW63" s="108"/>
      <c r="AX63" s="108"/>
      <c r="AY63" s="108"/>
      <c r="AZ63" s="108"/>
      <c r="BA63" s="108"/>
      <c r="BB63" s="108"/>
      <c r="BC63" s="108"/>
      <c r="BD63" s="110"/>
      <c r="BE63" s="108"/>
      <c r="BF63" s="136"/>
      <c r="BG63" s="108"/>
      <c r="BH63" s="108"/>
      <c r="BI63" s="108"/>
      <c r="BJ63" s="108"/>
      <c r="BK63" s="108"/>
      <c r="BL63" s="108"/>
      <c r="BM63" s="108"/>
      <c r="BN63" s="108"/>
      <c r="BO63" s="108"/>
      <c r="BP63" s="108"/>
      <c r="BQ63" s="108"/>
      <c r="BR63" s="108"/>
      <c r="BS63" s="108"/>
      <c r="BT63" s="32"/>
      <c r="BU63" s="32"/>
    </row>
    <row r="64" spans="1:73" ht="16.5" thickBot="1">
      <c r="A64" s="178">
        <v>6</v>
      </c>
      <c r="B64" s="5" t="s">
        <v>76</v>
      </c>
      <c r="C64" s="80">
        <v>38529</v>
      </c>
      <c r="D64" s="244">
        <f t="shared" si="11"/>
      </c>
      <c r="E64" s="9" t="str">
        <f>IF(SUM(L43:L46)=12,K43,"Winner G")</f>
        <v>Switzerland</v>
      </c>
      <c r="F64" s="78">
        <v>1</v>
      </c>
      <c r="G64" s="78">
        <v>2</v>
      </c>
      <c r="H64" s="165" t="str">
        <f>IF(SUM(L49:L52)=12,K50,"Runner-Up H")</f>
        <v>Tunisia</v>
      </c>
      <c r="I64" s="251">
        <f t="shared" si="13"/>
      </c>
      <c r="K64" s="214" t="s">
        <v>96</v>
      </c>
      <c r="L64" s="213"/>
      <c r="M64" s="213"/>
      <c r="N64" s="213"/>
      <c r="O64" s="213"/>
      <c r="P64" s="213"/>
      <c r="Q64" s="213"/>
      <c r="R64" s="213"/>
      <c r="S64" s="213"/>
      <c r="T64" s="10"/>
      <c r="U64" s="10"/>
      <c r="V64" s="29"/>
      <c r="W64" s="11"/>
      <c r="X64" s="111"/>
      <c r="Y64" s="113"/>
      <c r="Z64" s="32"/>
      <c r="AA64" s="138" t="str">
        <f t="shared" si="12"/>
        <v>Tunisia</v>
      </c>
      <c r="AB64" s="138"/>
      <c r="AC64" s="138" t="str">
        <f>IF(D64&gt;I64,E64,IF(I64&gt;D64,H64,"Winner Match 6"))</f>
        <v>Winner Match 6</v>
      </c>
      <c r="AD64" s="138"/>
      <c r="AE64" s="138"/>
      <c r="AF64" s="138"/>
      <c r="AG64" s="138"/>
      <c r="AH64" s="138"/>
      <c r="AI64" s="138"/>
      <c r="AJ64" s="138"/>
      <c r="AK64" s="138"/>
      <c r="AL64" s="110"/>
      <c r="AM64" s="138"/>
      <c r="AN64" s="139"/>
      <c r="AO64" s="139"/>
      <c r="AP64" s="139"/>
      <c r="AQ64" s="139"/>
      <c r="AR64" s="108"/>
      <c r="AS64" s="110"/>
      <c r="AT64" s="108"/>
      <c r="AU64" s="108"/>
      <c r="AV64" s="108"/>
      <c r="AW64" s="108"/>
      <c r="AX64" s="108"/>
      <c r="AY64" s="108"/>
      <c r="AZ64" s="108"/>
      <c r="BA64" s="108"/>
      <c r="BB64" s="108"/>
      <c r="BC64" s="108"/>
      <c r="BD64" s="110"/>
      <c r="BE64" s="108"/>
      <c r="BF64" s="136"/>
      <c r="BG64" s="108"/>
      <c r="BH64" s="108"/>
      <c r="BI64" s="108"/>
      <c r="BJ64" s="108"/>
      <c r="BK64" s="108"/>
      <c r="BL64" s="108"/>
      <c r="BM64" s="108"/>
      <c r="BN64" s="108"/>
      <c r="BO64" s="108"/>
      <c r="BP64" s="108"/>
      <c r="BQ64" s="108"/>
      <c r="BR64" s="108"/>
      <c r="BS64" s="108"/>
      <c r="BT64" s="32"/>
      <c r="BU64" s="32"/>
    </row>
    <row r="65" spans="1:73" ht="16.5" thickBot="1">
      <c r="A65" s="178">
        <v>7</v>
      </c>
      <c r="B65" s="5" t="s">
        <v>77</v>
      </c>
      <c r="C65" s="80">
        <v>38530</v>
      </c>
      <c r="D65" s="244">
        <f t="shared" si="11"/>
      </c>
      <c r="E65" s="9" t="str">
        <f>IF(SUM(L37:L40)=12,K37,"Winner F")</f>
        <v>Brazil</v>
      </c>
      <c r="F65" s="78">
        <v>1</v>
      </c>
      <c r="G65" s="78">
        <v>2</v>
      </c>
      <c r="H65" s="165" t="str">
        <f>IF(SUM(L31:L34)=12,K32,"Runner-Up E")</f>
        <v>Czech Republic</v>
      </c>
      <c r="I65" s="251">
        <f t="shared" si="13"/>
      </c>
      <c r="K65" s="240" t="s">
        <v>26</v>
      </c>
      <c r="L65" s="4"/>
      <c r="M65" s="4"/>
      <c r="N65" s="4"/>
      <c r="O65" s="4"/>
      <c r="P65" s="4"/>
      <c r="Q65" s="4"/>
      <c r="R65" s="4"/>
      <c r="S65" s="4"/>
      <c r="T65" s="10"/>
      <c r="U65" s="10"/>
      <c r="V65" s="29"/>
      <c r="W65" s="11"/>
      <c r="X65" s="111"/>
      <c r="Y65" s="113"/>
      <c r="Z65" s="32"/>
      <c r="AA65" s="138" t="str">
        <f t="shared" si="12"/>
        <v>Czech Republic</v>
      </c>
      <c r="AB65" s="138"/>
      <c r="AC65" s="138" t="str">
        <f>IF(D65&gt;I65,E65,IF(I65&gt;D65,H65,"Winner Match 7"))</f>
        <v>Winner Match 7</v>
      </c>
      <c r="AD65" s="138"/>
      <c r="AE65" s="138"/>
      <c r="AF65" s="138"/>
      <c r="AG65" s="138"/>
      <c r="AH65" s="138"/>
      <c r="AI65" s="138"/>
      <c r="AJ65" s="138"/>
      <c r="AK65" s="138"/>
      <c r="AL65" s="110"/>
      <c r="AM65" s="138"/>
      <c r="AN65" s="139"/>
      <c r="AO65" s="139"/>
      <c r="AP65" s="139"/>
      <c r="AQ65" s="139"/>
      <c r="AR65" s="108"/>
      <c r="AS65" s="110"/>
      <c r="AT65" s="108"/>
      <c r="AU65" s="108"/>
      <c r="AV65" s="108"/>
      <c r="AW65" s="108"/>
      <c r="AX65" s="108"/>
      <c r="AY65" s="108"/>
      <c r="AZ65" s="108"/>
      <c r="BA65" s="108"/>
      <c r="BB65" s="108"/>
      <c r="BC65" s="108"/>
      <c r="BD65" s="110"/>
      <c r="BE65" s="108"/>
      <c r="BF65" s="136"/>
      <c r="BG65" s="108"/>
      <c r="BH65" s="108"/>
      <c r="BI65" s="108"/>
      <c r="BJ65" s="108"/>
      <c r="BK65" s="108"/>
      <c r="BL65" s="108"/>
      <c r="BM65" s="108"/>
      <c r="BN65" s="108"/>
      <c r="BO65" s="108"/>
      <c r="BP65" s="108"/>
      <c r="BQ65" s="108"/>
      <c r="BR65" s="108"/>
      <c r="BS65" s="108"/>
      <c r="BT65" s="32"/>
      <c r="BU65" s="32"/>
    </row>
    <row r="66" spans="1:73" ht="16.5" thickBot="1">
      <c r="A66" s="178">
        <v>8</v>
      </c>
      <c r="B66" s="5" t="s">
        <v>77</v>
      </c>
      <c r="C66" s="80">
        <v>38530</v>
      </c>
      <c r="D66" s="244">
        <f t="shared" si="11"/>
      </c>
      <c r="E66" s="9" t="str">
        <f>IF(SUM(L49:L52)=12,K49,"Winner H")</f>
        <v>Spain</v>
      </c>
      <c r="F66" s="78">
        <v>1</v>
      </c>
      <c r="G66" s="78">
        <v>2</v>
      </c>
      <c r="H66" s="165" t="str">
        <f>IF(SUM(L43:L46)=12,K44,"Runner-Up G")</f>
        <v>South Korea</v>
      </c>
      <c r="I66" s="251">
        <f t="shared" si="13"/>
      </c>
      <c r="K66" s="54"/>
      <c r="L66" s="4"/>
      <c r="M66" s="4"/>
      <c r="N66" s="4"/>
      <c r="O66" s="4"/>
      <c r="P66" s="4"/>
      <c r="Q66" s="4"/>
      <c r="R66" s="4"/>
      <c r="S66" s="4"/>
      <c r="T66" s="10"/>
      <c r="U66" s="10"/>
      <c r="V66" s="29"/>
      <c r="W66" s="11"/>
      <c r="X66" s="111"/>
      <c r="Y66" s="113"/>
      <c r="Z66" s="32"/>
      <c r="AA66" s="138" t="str">
        <f t="shared" si="12"/>
        <v>South Korea</v>
      </c>
      <c r="AB66" s="138"/>
      <c r="AC66" s="138" t="str">
        <f>IF(D66&gt;I66,E66,IF(I66&gt;D66,H66,"Winner Match 8"))</f>
        <v>Winner Match 8</v>
      </c>
      <c r="AD66" s="138"/>
      <c r="AE66" s="138"/>
      <c r="AF66" s="138"/>
      <c r="AG66" s="138"/>
      <c r="AH66" s="138"/>
      <c r="AI66" s="138"/>
      <c r="AJ66" s="138"/>
      <c r="AK66" s="138"/>
      <c r="AL66" s="110"/>
      <c r="AM66" s="138"/>
      <c r="AN66" s="139"/>
      <c r="AO66" s="139"/>
      <c r="AP66" s="139"/>
      <c r="AQ66" s="139"/>
      <c r="AR66" s="108"/>
      <c r="AS66" s="110"/>
      <c r="AT66" s="108"/>
      <c r="AU66" s="108"/>
      <c r="AV66" s="108"/>
      <c r="AW66" s="108"/>
      <c r="AX66" s="108"/>
      <c r="AY66" s="108"/>
      <c r="AZ66" s="108"/>
      <c r="BA66" s="108"/>
      <c r="BB66" s="108"/>
      <c r="BC66" s="108"/>
      <c r="BD66" s="110"/>
      <c r="BE66" s="108"/>
      <c r="BF66" s="136"/>
      <c r="BG66" s="108"/>
      <c r="BH66" s="108"/>
      <c r="BI66" s="108"/>
      <c r="BJ66" s="108"/>
      <c r="BK66" s="108"/>
      <c r="BL66" s="108"/>
      <c r="BM66" s="108"/>
      <c r="BN66" s="108"/>
      <c r="BO66" s="108"/>
      <c r="BP66" s="108"/>
      <c r="BQ66" s="108"/>
      <c r="BR66" s="108"/>
      <c r="BS66" s="108"/>
      <c r="BT66" s="32"/>
      <c r="BU66" s="32"/>
    </row>
    <row r="67" spans="1:73" ht="15.75">
      <c r="A67" s="178"/>
      <c r="B67" s="5"/>
      <c r="C67" s="80"/>
      <c r="D67" s="245"/>
      <c r="E67" s="39"/>
      <c r="F67" s="83"/>
      <c r="G67" s="83"/>
      <c r="I67" s="251"/>
      <c r="L67" s="4"/>
      <c r="M67" s="4"/>
      <c r="N67" s="4"/>
      <c r="O67" s="4"/>
      <c r="P67" s="4"/>
      <c r="Q67" s="4"/>
      <c r="R67" s="4"/>
      <c r="S67" s="4"/>
      <c r="T67" s="10"/>
      <c r="U67" s="10"/>
      <c r="V67" s="29"/>
      <c r="W67" s="11"/>
      <c r="X67" s="111"/>
      <c r="Y67" s="113"/>
      <c r="Z67" s="32"/>
      <c r="AA67" s="110"/>
      <c r="AB67" s="138"/>
      <c r="AC67" s="138"/>
      <c r="AD67" s="138"/>
      <c r="AE67" s="138"/>
      <c r="AF67" s="138"/>
      <c r="AG67" s="138"/>
      <c r="AH67" s="138"/>
      <c r="AI67" s="138"/>
      <c r="AJ67" s="138"/>
      <c r="AK67" s="138"/>
      <c r="AL67" s="110"/>
      <c r="AM67" s="138"/>
      <c r="AN67" s="139"/>
      <c r="AO67" s="139"/>
      <c r="AP67" s="139"/>
      <c r="AQ67" s="139"/>
      <c r="AR67" s="108"/>
      <c r="AS67" s="110"/>
      <c r="AT67" s="108"/>
      <c r="AU67" s="108"/>
      <c r="AV67" s="108"/>
      <c r="AW67" s="108"/>
      <c r="AX67" s="108"/>
      <c r="AY67" s="108"/>
      <c r="AZ67" s="108"/>
      <c r="BA67" s="108"/>
      <c r="BB67" s="108"/>
      <c r="BC67" s="108"/>
      <c r="BD67" s="110"/>
      <c r="BE67" s="108"/>
      <c r="BF67" s="136"/>
      <c r="BG67" s="108"/>
      <c r="BH67" s="108"/>
      <c r="BI67" s="108"/>
      <c r="BJ67" s="108"/>
      <c r="BK67" s="108"/>
      <c r="BL67" s="108"/>
      <c r="BM67" s="108"/>
      <c r="BN67" s="108"/>
      <c r="BO67" s="108"/>
      <c r="BP67" s="108"/>
      <c r="BQ67" s="108"/>
      <c r="BR67" s="108"/>
      <c r="BS67" s="108"/>
      <c r="BT67" s="32"/>
      <c r="BU67" s="32"/>
    </row>
    <row r="68" spans="1:73" ht="15.75" customHeight="1">
      <c r="A68" s="178"/>
      <c r="B68" s="5"/>
      <c r="C68" s="80"/>
      <c r="D68" s="245"/>
      <c r="E68" s="39"/>
      <c r="F68" s="83"/>
      <c r="G68" s="83"/>
      <c r="I68" s="252"/>
      <c r="K68" s="54"/>
      <c r="L68" s="4"/>
      <c r="M68" s="4"/>
      <c r="N68" s="4"/>
      <c r="O68" s="4"/>
      <c r="P68" s="4"/>
      <c r="Q68" s="4"/>
      <c r="R68" s="4"/>
      <c r="S68" s="4"/>
      <c r="T68" s="10"/>
      <c r="U68" s="10"/>
      <c r="V68" s="29"/>
      <c r="W68" s="11"/>
      <c r="X68" s="111"/>
      <c r="Y68" s="113"/>
      <c r="Z68" s="32"/>
      <c r="AA68" s="110"/>
      <c r="AB68" s="138"/>
      <c r="AC68" s="138"/>
      <c r="AD68" s="138"/>
      <c r="AE68" s="138"/>
      <c r="AF68" s="138"/>
      <c r="AG68" s="138"/>
      <c r="AH68" s="138"/>
      <c r="AI68" s="138"/>
      <c r="AJ68" s="138"/>
      <c r="AK68" s="138"/>
      <c r="AL68" s="110"/>
      <c r="AM68" s="138"/>
      <c r="AN68" s="139"/>
      <c r="AO68" s="139"/>
      <c r="AP68" s="139"/>
      <c r="AQ68" s="139"/>
      <c r="AR68" s="108"/>
      <c r="AS68" s="110"/>
      <c r="AT68" s="108"/>
      <c r="AU68" s="108"/>
      <c r="AV68" s="108"/>
      <c r="AW68" s="108"/>
      <c r="AX68" s="108"/>
      <c r="AY68" s="108"/>
      <c r="AZ68" s="108"/>
      <c r="BA68" s="108"/>
      <c r="BB68" s="108"/>
      <c r="BC68" s="108"/>
      <c r="BD68" s="110"/>
      <c r="BE68" s="108"/>
      <c r="BF68" s="136"/>
      <c r="BG68" s="108"/>
      <c r="BH68" s="108"/>
      <c r="BI68" s="108"/>
      <c r="BJ68" s="108"/>
      <c r="BK68" s="108"/>
      <c r="BL68" s="108"/>
      <c r="BM68" s="108"/>
      <c r="BN68" s="108"/>
      <c r="BO68" s="108"/>
      <c r="BP68" s="108"/>
      <c r="BQ68" s="108"/>
      <c r="BR68" s="108"/>
      <c r="BS68" s="108"/>
      <c r="BT68" s="32"/>
      <c r="BU68" s="32"/>
    </row>
    <row r="69" spans="1:73" ht="18.75">
      <c r="A69" s="178"/>
      <c r="B69" s="100" t="s">
        <v>33</v>
      </c>
      <c r="C69" s="101"/>
      <c r="D69" s="246"/>
      <c r="E69" s="182"/>
      <c r="F69" s="238"/>
      <c r="G69" s="238"/>
      <c r="H69" s="179"/>
      <c r="I69" s="253"/>
      <c r="K69" s="54"/>
      <c r="L69" s="4"/>
      <c r="M69" s="4"/>
      <c r="N69" s="4"/>
      <c r="O69" s="4"/>
      <c r="P69" s="4"/>
      <c r="Q69" s="4"/>
      <c r="R69" s="4"/>
      <c r="S69" s="4"/>
      <c r="T69" s="10"/>
      <c r="U69" s="10"/>
      <c r="W69" s="11"/>
      <c r="X69" s="111"/>
      <c r="Y69" s="113"/>
      <c r="Z69" s="32"/>
      <c r="AA69" s="110"/>
      <c r="AB69" s="138"/>
      <c r="AC69" s="138"/>
      <c r="AD69" s="138"/>
      <c r="AE69" s="138"/>
      <c r="AF69" s="138"/>
      <c r="AG69" s="138"/>
      <c r="AH69" s="138"/>
      <c r="AI69" s="138"/>
      <c r="AJ69" s="138"/>
      <c r="AK69" s="138"/>
      <c r="AL69" s="110"/>
      <c r="AM69" s="138"/>
      <c r="AN69" s="139"/>
      <c r="AO69" s="139"/>
      <c r="AP69" s="139"/>
      <c r="AQ69" s="139"/>
      <c r="AR69" s="108"/>
      <c r="AS69" s="110"/>
      <c r="AT69" s="108"/>
      <c r="AU69" s="108"/>
      <c r="AV69" s="108"/>
      <c r="AW69" s="108"/>
      <c r="AX69" s="108"/>
      <c r="AY69" s="108"/>
      <c r="AZ69" s="108"/>
      <c r="BA69" s="108"/>
      <c r="BB69" s="108"/>
      <c r="BC69" s="108"/>
      <c r="BD69" s="110"/>
      <c r="BE69" s="108"/>
      <c r="BF69" s="136"/>
      <c r="BG69" s="108"/>
      <c r="BH69" s="108"/>
      <c r="BI69" s="108"/>
      <c r="BJ69" s="108"/>
      <c r="BK69" s="108"/>
      <c r="BL69" s="108"/>
      <c r="BM69" s="108"/>
      <c r="BN69" s="108"/>
      <c r="BO69" s="108"/>
      <c r="BP69" s="108"/>
      <c r="BQ69" s="108"/>
      <c r="BR69" s="108"/>
      <c r="BS69" s="108"/>
      <c r="BT69" s="32"/>
      <c r="BU69" s="32"/>
    </row>
    <row r="70" spans="1:73" ht="15" customHeight="1">
      <c r="A70" s="178"/>
      <c r="B70" s="76"/>
      <c r="C70" s="81" t="s">
        <v>5</v>
      </c>
      <c r="D70" s="234"/>
      <c r="E70" s="183"/>
      <c r="F70" s="234"/>
      <c r="G70" s="234"/>
      <c r="H70" s="180"/>
      <c r="I70" s="254"/>
      <c r="J70" s="37"/>
      <c r="K70" s="54"/>
      <c r="L70" s="4"/>
      <c r="M70" s="4"/>
      <c r="N70" s="4"/>
      <c r="O70" s="4"/>
      <c r="P70" s="4"/>
      <c r="Q70" s="4"/>
      <c r="R70" s="4"/>
      <c r="S70" s="4"/>
      <c r="T70" s="10"/>
      <c r="U70" s="10"/>
      <c r="W70" s="11"/>
      <c r="X70" s="111"/>
      <c r="Y70" s="113"/>
      <c r="Z70" s="32"/>
      <c r="AB70" s="138"/>
      <c r="AC70" s="138"/>
      <c r="AD70" s="138"/>
      <c r="AE70" s="138"/>
      <c r="AF70" s="138"/>
      <c r="AG70" s="138"/>
      <c r="AH70" s="138"/>
      <c r="AI70" s="138"/>
      <c r="AJ70" s="138"/>
      <c r="AK70" s="138"/>
      <c r="AL70" s="110"/>
      <c r="AM70" s="138"/>
      <c r="AN70" s="145"/>
      <c r="AO70" s="108"/>
      <c r="AP70" s="108"/>
      <c r="AQ70" s="108"/>
      <c r="AR70" s="108"/>
      <c r="AS70" s="110"/>
      <c r="AT70" s="108"/>
      <c r="AU70" s="108"/>
      <c r="AV70" s="108"/>
      <c r="AW70" s="108"/>
      <c r="AX70" s="108"/>
      <c r="AY70" s="108"/>
      <c r="AZ70" s="108"/>
      <c r="BA70" s="108"/>
      <c r="BB70" s="108"/>
      <c r="BC70" s="108"/>
      <c r="BD70" s="110"/>
      <c r="BE70" s="108"/>
      <c r="BF70" s="136"/>
      <c r="BG70" s="108"/>
      <c r="BH70" s="108"/>
      <c r="BI70" s="108"/>
      <c r="BJ70" s="108"/>
      <c r="BK70" s="108"/>
      <c r="BL70" s="108"/>
      <c r="BM70" s="108"/>
      <c r="BN70" s="108"/>
      <c r="BO70" s="108"/>
      <c r="BP70" s="108"/>
      <c r="BQ70" s="108"/>
      <c r="BR70" s="108"/>
      <c r="BS70" s="108"/>
      <c r="BT70" s="32"/>
      <c r="BU70" s="32"/>
    </row>
    <row r="71" spans="1:73" ht="15" customHeight="1" thickBot="1">
      <c r="A71" s="178"/>
      <c r="B71" s="51"/>
      <c r="C71" s="57"/>
      <c r="D71" s="247"/>
      <c r="E71" s="25"/>
      <c r="F71" s="235"/>
      <c r="G71" s="236"/>
      <c r="H71" s="165"/>
      <c r="I71" s="255"/>
      <c r="J71" s="20"/>
      <c r="K71" s="5"/>
      <c r="L71" s="4"/>
      <c r="M71" s="4"/>
      <c r="N71" s="4"/>
      <c r="O71" s="4"/>
      <c r="P71" s="4"/>
      <c r="Q71" s="4"/>
      <c r="R71" s="4"/>
      <c r="S71" s="4"/>
      <c r="T71" s="10"/>
      <c r="U71" s="10"/>
      <c r="W71" s="11"/>
      <c r="X71" s="111"/>
      <c r="Y71" s="113"/>
      <c r="Z71" s="32"/>
      <c r="AA71" s="18" t="s">
        <v>86</v>
      </c>
      <c r="AB71" s="138"/>
      <c r="AC71" s="18" t="s">
        <v>37</v>
      </c>
      <c r="AD71" s="138"/>
      <c r="AE71" s="138"/>
      <c r="AF71" s="138"/>
      <c r="AG71" s="138"/>
      <c r="AH71" s="138"/>
      <c r="AI71" s="138"/>
      <c r="AJ71" s="138"/>
      <c r="AK71" s="138"/>
      <c r="AL71" s="110"/>
      <c r="AM71" s="138"/>
      <c r="AN71" s="145"/>
      <c r="AO71" s="108"/>
      <c r="AP71" s="108"/>
      <c r="AQ71" s="108"/>
      <c r="AR71" s="108"/>
      <c r="AS71" s="110"/>
      <c r="AT71" s="108"/>
      <c r="AU71" s="108"/>
      <c r="AV71" s="108"/>
      <c r="AW71" s="108"/>
      <c r="AX71" s="108"/>
      <c r="AY71" s="108"/>
      <c r="AZ71" s="108"/>
      <c r="BA71" s="108"/>
      <c r="BB71" s="108"/>
      <c r="BC71" s="108"/>
      <c r="BD71" s="110"/>
      <c r="BE71" s="108"/>
      <c r="BF71" s="136"/>
      <c r="BG71" s="108"/>
      <c r="BH71" s="108"/>
      <c r="BI71" s="108"/>
      <c r="BJ71" s="108"/>
      <c r="BK71" s="108"/>
      <c r="BL71" s="108"/>
      <c r="BM71" s="108"/>
      <c r="BN71" s="108"/>
      <c r="BO71" s="108"/>
      <c r="BP71" s="108"/>
      <c r="BQ71" s="108"/>
      <c r="BR71" s="108"/>
      <c r="BS71" s="108"/>
      <c r="BT71" s="32"/>
      <c r="BU71" s="32"/>
    </row>
    <row r="72" spans="1:73" ht="15" customHeight="1" thickBot="1">
      <c r="A72" s="178" t="s">
        <v>12</v>
      </c>
      <c r="B72" s="80" t="s">
        <v>73</v>
      </c>
      <c r="C72" s="177">
        <v>38533</v>
      </c>
      <c r="D72" s="244">
        <f>IF((F72=G72),"pen","")</f>
      </c>
      <c r="E72" s="25" t="str">
        <f>IF(AA59&lt;&gt;"draw",AA59,AC59)</f>
        <v>Germany</v>
      </c>
      <c r="F72" s="231">
        <v>2</v>
      </c>
      <c r="G72" s="231">
        <v>1</v>
      </c>
      <c r="H72" s="10" t="str">
        <f>IF(AA60&lt;&gt;"draw",AA60,AC60)</f>
        <v>Argentina</v>
      </c>
      <c r="I72" s="256">
        <f>IF((F72=G72),"pen","")</f>
      </c>
      <c r="J72" s="19"/>
      <c r="K72" s="52"/>
      <c r="L72" s="53"/>
      <c r="M72" s="53"/>
      <c r="N72" s="53"/>
      <c r="O72" s="53"/>
      <c r="P72" s="53"/>
      <c r="Q72" s="53"/>
      <c r="R72" s="53"/>
      <c r="S72" s="53"/>
      <c r="T72" s="10"/>
      <c r="U72" s="10"/>
      <c r="W72" s="41"/>
      <c r="X72" s="142"/>
      <c r="Y72" s="113"/>
      <c r="Z72" s="32"/>
      <c r="AA72" s="138" t="str">
        <f>IF(F72&gt;G72,E72,IF(G72&gt;F72,H72,"draw"))</f>
        <v>Germany</v>
      </c>
      <c r="AB72" s="138"/>
      <c r="AC72" s="138" t="str">
        <f>IF(D72&gt;I72,E72,IF(I72&gt;D72,H72,"Winner QF A"))</f>
        <v>Winner QF A</v>
      </c>
      <c r="AD72" s="138"/>
      <c r="AE72" s="138"/>
      <c r="AF72" s="138"/>
      <c r="AH72" s="138"/>
      <c r="AI72" s="138"/>
      <c r="AJ72" s="138"/>
      <c r="AK72" s="138"/>
      <c r="AL72" s="110"/>
      <c r="AM72" s="138"/>
      <c r="AN72" s="145"/>
      <c r="AO72" s="108"/>
      <c r="AP72" s="108"/>
      <c r="AQ72" s="108"/>
      <c r="AR72" s="143"/>
      <c r="AS72" s="110"/>
      <c r="AT72" s="108"/>
      <c r="AU72" s="108"/>
      <c r="AV72" s="108"/>
      <c r="AW72" s="108"/>
      <c r="AX72" s="108"/>
      <c r="AY72" s="108"/>
      <c r="AZ72" s="108"/>
      <c r="BA72" s="108"/>
      <c r="BB72" s="108"/>
      <c r="BC72" s="108"/>
      <c r="BD72" s="110"/>
      <c r="BE72" s="108"/>
      <c r="BF72" s="136"/>
      <c r="BG72" s="108"/>
      <c r="BH72" s="108"/>
      <c r="BI72" s="108"/>
      <c r="BJ72" s="108"/>
      <c r="BK72" s="108"/>
      <c r="BL72" s="108"/>
      <c r="BM72" s="108"/>
      <c r="BN72" s="108"/>
      <c r="BO72" s="108"/>
      <c r="BP72" s="108"/>
      <c r="BQ72" s="108"/>
      <c r="BR72" s="108"/>
      <c r="BS72" s="108"/>
      <c r="BT72" s="32"/>
      <c r="BU72" s="32"/>
    </row>
    <row r="73" spans="1:73" ht="15" customHeight="1" thickBot="1">
      <c r="A73" s="178" t="s">
        <v>88</v>
      </c>
      <c r="B73" s="80" t="s">
        <v>73</v>
      </c>
      <c r="C73" s="177">
        <v>38533</v>
      </c>
      <c r="D73" s="244">
        <f>IF((F73=G73),"pen","")</f>
      </c>
      <c r="E73" s="25" t="str">
        <f>IF(AA63&lt;&gt;"draw",AA63,AC63)</f>
        <v>USA</v>
      </c>
      <c r="F73" s="231">
        <v>1</v>
      </c>
      <c r="G73" s="231">
        <v>2</v>
      </c>
      <c r="H73" s="10" t="str">
        <f>IF(AA64&lt;&gt;"draw",AA64,AC64)</f>
        <v>Tunisia</v>
      </c>
      <c r="I73" s="256">
        <f>IF((F73=G73),"pen","")</f>
      </c>
      <c r="K73" s="54"/>
      <c r="L73" s="4"/>
      <c r="M73" s="4"/>
      <c r="N73" s="4"/>
      <c r="O73" s="4"/>
      <c r="P73" s="4"/>
      <c r="Q73" s="4"/>
      <c r="R73" s="4"/>
      <c r="S73" s="4"/>
      <c r="T73" s="6"/>
      <c r="U73" s="6"/>
      <c r="W73" s="11"/>
      <c r="X73" s="111"/>
      <c r="Y73" s="113"/>
      <c r="Z73" s="32"/>
      <c r="AA73" s="138" t="str">
        <f>IF(F73&gt;G73,E73,IF(G73&gt;F73,H73,"draw"))</f>
        <v>Tunisia</v>
      </c>
      <c r="AB73" s="138"/>
      <c r="AC73" s="138" t="str">
        <f>IF(D73&gt;I73,E73,IF(I73&gt;D73,H73,"Winner QF B"))</f>
        <v>Winner QF B</v>
      </c>
      <c r="AD73" s="138"/>
      <c r="AE73" s="138"/>
      <c r="AF73" s="138"/>
      <c r="AH73" s="138"/>
      <c r="AI73" s="138"/>
      <c r="AJ73" s="138"/>
      <c r="AK73" s="138"/>
      <c r="AL73" s="110"/>
      <c r="AM73" s="138"/>
      <c r="AN73" s="145"/>
      <c r="AO73" s="108"/>
      <c r="AP73" s="108"/>
      <c r="AQ73" s="108"/>
      <c r="AR73" s="108"/>
      <c r="AS73" s="108"/>
      <c r="AT73" s="108"/>
      <c r="AU73" s="108"/>
      <c r="AV73" s="108"/>
      <c r="AW73" s="108"/>
      <c r="AX73" s="108"/>
      <c r="AY73" s="108"/>
      <c r="AZ73" s="108"/>
      <c r="BA73" s="108"/>
      <c r="BB73" s="108"/>
      <c r="BC73" s="108"/>
      <c r="BD73" s="110"/>
      <c r="BE73" s="108"/>
      <c r="BF73" s="136"/>
      <c r="BG73" s="108"/>
      <c r="BH73" s="108"/>
      <c r="BI73" s="108"/>
      <c r="BJ73" s="108"/>
      <c r="BK73" s="108"/>
      <c r="BL73" s="108"/>
      <c r="BM73" s="108"/>
      <c r="BN73" s="108"/>
      <c r="BO73" s="108"/>
      <c r="BP73" s="108"/>
      <c r="BQ73" s="108"/>
      <c r="BR73" s="108"/>
      <c r="BS73" s="108"/>
      <c r="BT73" s="32"/>
      <c r="BU73" s="32"/>
    </row>
    <row r="74" spans="1:73" ht="15" customHeight="1" thickBot="1">
      <c r="A74" s="178" t="s">
        <v>89</v>
      </c>
      <c r="B74" s="80" t="s">
        <v>74</v>
      </c>
      <c r="C74" s="177">
        <v>38534</v>
      </c>
      <c r="D74" s="244">
        <f>IF((F74=G74),"pen","")</f>
      </c>
      <c r="E74" s="25" t="str">
        <f>IF(AA61&lt;&gt;"draw",AA61,AC61)</f>
        <v>Sweden</v>
      </c>
      <c r="F74" s="231">
        <v>3</v>
      </c>
      <c r="G74" s="231">
        <v>2</v>
      </c>
      <c r="H74" s="10" t="str">
        <f>IF(AA62&lt;&gt;"draw",AA62,AC62)</f>
        <v>Portugal</v>
      </c>
      <c r="I74" s="251">
        <f>IF((F74=G74),"pen","")</f>
      </c>
      <c r="K74" s="54"/>
      <c r="L74" s="4"/>
      <c r="M74" s="4"/>
      <c r="N74" s="4"/>
      <c r="O74" s="4"/>
      <c r="P74" s="4"/>
      <c r="Q74" s="4"/>
      <c r="R74" s="4"/>
      <c r="S74" s="4"/>
      <c r="T74" s="10"/>
      <c r="U74" s="10"/>
      <c r="W74" s="11"/>
      <c r="X74" s="111"/>
      <c r="Y74" s="113"/>
      <c r="Z74" s="32"/>
      <c r="AA74" s="138" t="str">
        <f>IF(F74&gt;G74,E74,IF(G74&gt;F74,H74,"draw"))</f>
        <v>Sweden</v>
      </c>
      <c r="AB74" s="138"/>
      <c r="AC74" s="138" t="str">
        <f>IF(D74&gt;I74,E74,IF(I74&gt;D74,H74,"Winner QF C"))</f>
        <v>Winner QF C</v>
      </c>
      <c r="AD74" s="138"/>
      <c r="AE74" s="138"/>
      <c r="AF74" s="138"/>
      <c r="AH74" s="138"/>
      <c r="AI74" s="138"/>
      <c r="AJ74" s="138"/>
      <c r="AK74" s="138"/>
      <c r="AL74" s="110"/>
      <c r="AM74" s="138"/>
      <c r="AN74" s="145"/>
      <c r="AO74" s="108"/>
      <c r="AP74" s="108"/>
      <c r="AQ74" s="108"/>
      <c r="AR74" s="108"/>
      <c r="AS74" s="110"/>
      <c r="AT74" s="108"/>
      <c r="AU74" s="108"/>
      <c r="AV74" s="108"/>
      <c r="AW74" s="108"/>
      <c r="AX74" s="108"/>
      <c r="AY74" s="108"/>
      <c r="AZ74" s="108"/>
      <c r="BA74" s="108"/>
      <c r="BB74" s="108"/>
      <c r="BC74" s="108"/>
      <c r="BD74" s="110"/>
      <c r="BE74" s="108"/>
      <c r="BF74" s="141"/>
      <c r="BG74" s="110"/>
      <c r="BH74" s="110"/>
      <c r="BI74" s="110"/>
      <c r="BJ74" s="110"/>
      <c r="BK74" s="110"/>
      <c r="BL74" s="110"/>
      <c r="BM74" s="110"/>
      <c r="BN74" s="110"/>
      <c r="BO74" s="110"/>
      <c r="BP74" s="110"/>
      <c r="BQ74" s="108"/>
      <c r="BR74" s="110"/>
      <c r="BS74" s="108"/>
      <c r="BT74" s="32"/>
      <c r="BU74" s="32"/>
    </row>
    <row r="75" spans="1:73" ht="15" customHeight="1" thickBot="1">
      <c r="A75" s="178" t="s">
        <v>9</v>
      </c>
      <c r="B75" s="80" t="s">
        <v>74</v>
      </c>
      <c r="C75" s="177">
        <v>38534</v>
      </c>
      <c r="D75" s="244">
        <f>IF((F75=G75),"pen","")</f>
      </c>
      <c r="E75" s="25" t="str">
        <f>IF(AA65&lt;&gt;"draw",AA65,AC65)</f>
        <v>Czech Republic</v>
      </c>
      <c r="F75" s="231">
        <v>1</v>
      </c>
      <c r="G75" s="231">
        <v>0</v>
      </c>
      <c r="H75" s="10" t="str">
        <f>IF(AA66&lt;&gt;"draw",AA66,AC66)</f>
        <v>South Korea</v>
      </c>
      <c r="I75" s="256">
        <f>IF((F75=G75),"pen","")</f>
      </c>
      <c r="K75" s="54"/>
      <c r="L75" s="4"/>
      <c r="M75" s="4"/>
      <c r="N75" s="4"/>
      <c r="O75" s="4"/>
      <c r="P75" s="4"/>
      <c r="Q75" s="4"/>
      <c r="R75" s="4"/>
      <c r="S75" s="4"/>
      <c r="T75" s="10"/>
      <c r="U75" s="10"/>
      <c r="W75" s="11"/>
      <c r="X75" s="111"/>
      <c r="Y75" s="113"/>
      <c r="Z75" s="32"/>
      <c r="AA75" s="138" t="str">
        <f>IF(F75&gt;G75,E75,IF(G75&gt;F75,H75,"draw"))</f>
        <v>Czech Republic</v>
      </c>
      <c r="AB75" s="138"/>
      <c r="AC75" s="138" t="str">
        <f>IF(D75&gt;I75,E75,IF(I75&gt;D75,H75,"Winner QF D"))</f>
        <v>Winner QF D</v>
      </c>
      <c r="AD75" s="138"/>
      <c r="AE75" s="138"/>
      <c r="AF75" s="138"/>
      <c r="AH75" s="138"/>
      <c r="AI75" s="138"/>
      <c r="AJ75" s="138"/>
      <c r="AK75" s="138"/>
      <c r="AL75" s="110"/>
      <c r="AM75" s="138"/>
      <c r="AN75" s="108"/>
      <c r="AO75" s="108"/>
      <c r="AP75" s="110"/>
      <c r="AQ75" s="110"/>
      <c r="AR75" s="108"/>
      <c r="AS75" s="110"/>
      <c r="AT75" s="108"/>
      <c r="AU75" s="108"/>
      <c r="AV75" s="108"/>
      <c r="AW75" s="108"/>
      <c r="AX75" s="108"/>
      <c r="AY75" s="108"/>
      <c r="AZ75" s="108"/>
      <c r="BA75" s="108"/>
      <c r="BB75" s="108"/>
      <c r="BC75" s="108"/>
      <c r="BD75" s="110"/>
      <c r="BE75" s="108"/>
      <c r="BF75" s="141"/>
      <c r="BG75" s="110"/>
      <c r="BH75" s="110"/>
      <c r="BI75" s="110"/>
      <c r="BJ75" s="110"/>
      <c r="BK75" s="110"/>
      <c r="BL75" s="110"/>
      <c r="BM75" s="110"/>
      <c r="BN75" s="110"/>
      <c r="BO75" s="110"/>
      <c r="BP75" s="110"/>
      <c r="BQ75" s="108"/>
      <c r="BR75" s="110"/>
      <c r="BS75" s="108"/>
      <c r="BT75" s="32"/>
      <c r="BU75" s="32"/>
    </row>
    <row r="76" spans="1:73" ht="15" customHeight="1">
      <c r="A76" s="178"/>
      <c r="B76" s="4"/>
      <c r="C76" s="56"/>
      <c r="D76" s="248"/>
      <c r="E76" s="9"/>
      <c r="F76" s="232"/>
      <c r="G76" s="232"/>
      <c r="H76" s="167"/>
      <c r="I76" s="257"/>
      <c r="K76" s="54"/>
      <c r="L76" s="4"/>
      <c r="M76" s="4"/>
      <c r="N76" s="4"/>
      <c r="O76" s="4"/>
      <c r="P76" s="4"/>
      <c r="Q76" s="4"/>
      <c r="R76" s="4"/>
      <c r="S76" s="4"/>
      <c r="T76" s="10"/>
      <c r="U76" s="10"/>
      <c r="W76" s="41"/>
      <c r="X76" s="142"/>
      <c r="Y76" s="113"/>
      <c r="Z76" s="32"/>
      <c r="AA76" s="138"/>
      <c r="AB76" s="138"/>
      <c r="AC76" s="138"/>
      <c r="AD76" s="138"/>
      <c r="AE76" s="138"/>
      <c r="AF76" s="138"/>
      <c r="AH76" s="138"/>
      <c r="AI76" s="138"/>
      <c r="AJ76" s="138"/>
      <c r="AK76" s="138"/>
      <c r="AL76" s="110"/>
      <c r="AM76" s="138"/>
      <c r="AN76" s="108"/>
      <c r="AO76" s="108"/>
      <c r="AP76" s="110"/>
      <c r="AQ76" s="110"/>
      <c r="AR76" s="108"/>
      <c r="AS76" s="110"/>
      <c r="AT76" s="108"/>
      <c r="AU76" s="108"/>
      <c r="AV76" s="108"/>
      <c r="AW76" s="108"/>
      <c r="AX76" s="108"/>
      <c r="AY76" s="108"/>
      <c r="AZ76" s="108"/>
      <c r="BA76" s="108"/>
      <c r="BB76" s="108"/>
      <c r="BC76" s="108"/>
      <c r="BD76" s="110"/>
      <c r="BE76" s="108"/>
      <c r="BF76" s="141"/>
      <c r="BG76" s="110"/>
      <c r="BH76" s="110"/>
      <c r="BI76" s="110"/>
      <c r="BJ76" s="110"/>
      <c r="BK76" s="110"/>
      <c r="BL76" s="110"/>
      <c r="BM76" s="110"/>
      <c r="BN76" s="110"/>
      <c r="BO76" s="110"/>
      <c r="BP76" s="110"/>
      <c r="BQ76" s="108"/>
      <c r="BR76" s="110"/>
      <c r="BS76" s="108"/>
      <c r="BT76" s="32"/>
      <c r="BU76" s="32"/>
    </row>
    <row r="77" spans="1:73" ht="13.5">
      <c r="A77" s="178"/>
      <c r="B77" s="4"/>
      <c r="C77" s="56"/>
      <c r="D77" s="248"/>
      <c r="E77" s="9"/>
      <c r="F77" s="232"/>
      <c r="G77" s="232"/>
      <c r="H77" s="167"/>
      <c r="I77" s="258"/>
      <c r="K77" s="54"/>
      <c r="L77" s="4"/>
      <c r="M77" s="4"/>
      <c r="N77" s="4"/>
      <c r="O77" s="4"/>
      <c r="P77" s="4"/>
      <c r="Q77" s="4"/>
      <c r="R77" s="4"/>
      <c r="S77" s="4"/>
      <c r="T77" s="10"/>
      <c r="U77" s="10"/>
      <c r="W77" s="11"/>
      <c r="X77" s="111"/>
      <c r="Y77" s="113"/>
      <c r="Z77" s="32"/>
      <c r="AB77" s="138"/>
      <c r="AD77" s="138"/>
      <c r="AE77" s="138"/>
      <c r="AF77" s="138"/>
      <c r="AH77" s="138"/>
      <c r="AI77" s="138"/>
      <c r="AJ77" s="138"/>
      <c r="AK77" s="138"/>
      <c r="AL77" s="110"/>
      <c r="AM77" s="138"/>
      <c r="AN77" s="108"/>
      <c r="AO77" s="108"/>
      <c r="AP77" s="110"/>
      <c r="AQ77" s="110"/>
      <c r="AR77" s="108"/>
      <c r="AS77" s="110"/>
      <c r="AT77" s="108"/>
      <c r="AU77" s="108"/>
      <c r="AV77" s="108"/>
      <c r="AW77" s="108"/>
      <c r="AX77" s="108"/>
      <c r="AY77" s="108"/>
      <c r="AZ77" s="108"/>
      <c r="BA77" s="108"/>
      <c r="BB77" s="108"/>
      <c r="BC77" s="108"/>
      <c r="BD77" s="110"/>
      <c r="BE77" s="108"/>
      <c r="BF77" s="141"/>
      <c r="BG77" s="110"/>
      <c r="BH77" s="110"/>
      <c r="BI77" s="110"/>
      <c r="BJ77" s="110"/>
      <c r="BK77" s="110"/>
      <c r="BL77" s="110"/>
      <c r="BM77" s="110"/>
      <c r="BN77" s="110"/>
      <c r="BO77" s="110"/>
      <c r="BP77" s="110"/>
      <c r="BQ77" s="108"/>
      <c r="BR77" s="110"/>
      <c r="BS77" s="108"/>
      <c r="BT77" s="32"/>
      <c r="BU77" s="32"/>
    </row>
    <row r="78" spans="1:73" ht="18.75">
      <c r="A78" s="178"/>
      <c r="B78" s="100" t="s">
        <v>34</v>
      </c>
      <c r="C78" s="100"/>
      <c r="D78" s="246"/>
      <c r="E78" s="182"/>
      <c r="F78" s="233"/>
      <c r="G78" s="233"/>
      <c r="H78" s="181"/>
      <c r="I78" s="252"/>
      <c r="J78" s="58"/>
      <c r="K78" s="52"/>
      <c r="L78" s="53"/>
      <c r="M78" s="53"/>
      <c r="N78" s="53"/>
      <c r="O78" s="53"/>
      <c r="P78" s="53"/>
      <c r="Q78" s="53"/>
      <c r="R78" s="53"/>
      <c r="S78" s="53"/>
      <c r="T78" s="10"/>
      <c r="U78" s="10"/>
      <c r="V78" s="11"/>
      <c r="W78" s="11"/>
      <c r="X78" s="111"/>
      <c r="Y78" s="113"/>
      <c r="Z78" s="32"/>
      <c r="AB78" s="138"/>
      <c r="AD78" s="138"/>
      <c r="AE78" s="138"/>
      <c r="AF78" s="138"/>
      <c r="AH78" s="138"/>
      <c r="AI78" s="138"/>
      <c r="AJ78" s="138"/>
      <c r="AK78" s="138"/>
      <c r="AL78" s="110"/>
      <c r="AM78" s="138"/>
      <c r="AN78" s="108"/>
      <c r="AO78" s="108"/>
      <c r="AP78" s="110"/>
      <c r="AQ78" s="110"/>
      <c r="AR78" s="108"/>
      <c r="AS78" s="110"/>
      <c r="AT78" s="108"/>
      <c r="AU78" s="108"/>
      <c r="AV78" s="108"/>
      <c r="AW78" s="143"/>
      <c r="AX78" s="143"/>
      <c r="AY78" s="143"/>
      <c r="AZ78" s="108"/>
      <c r="BA78" s="108"/>
      <c r="BB78" s="108"/>
      <c r="BC78" s="108"/>
      <c r="BD78" s="110"/>
      <c r="BE78" s="108"/>
      <c r="BF78" s="136"/>
      <c r="BG78" s="108"/>
      <c r="BH78" s="108"/>
      <c r="BI78" s="108"/>
      <c r="BJ78" s="108"/>
      <c r="BK78" s="108"/>
      <c r="BL78" s="108"/>
      <c r="BM78" s="108"/>
      <c r="BN78" s="108"/>
      <c r="BO78" s="108"/>
      <c r="BP78" s="108"/>
      <c r="BQ78" s="108"/>
      <c r="BR78" s="108"/>
      <c r="BS78" s="108"/>
      <c r="BT78" s="32"/>
      <c r="BU78" s="32"/>
    </row>
    <row r="79" spans="1:73" ht="15" customHeight="1">
      <c r="A79" s="178"/>
      <c r="B79" s="76"/>
      <c r="C79" s="81" t="s">
        <v>5</v>
      </c>
      <c r="D79" s="234"/>
      <c r="E79" s="183"/>
      <c r="F79" s="234"/>
      <c r="G79" s="234"/>
      <c r="H79" s="180"/>
      <c r="I79" s="254"/>
      <c r="J79" s="58"/>
      <c r="K79" s="54"/>
      <c r="L79" s="4"/>
      <c r="M79" s="4"/>
      <c r="N79" s="4"/>
      <c r="O79" s="4"/>
      <c r="P79" s="4"/>
      <c r="Q79" s="4"/>
      <c r="R79" s="4"/>
      <c r="S79" s="4"/>
      <c r="T79" s="10"/>
      <c r="U79" s="10"/>
      <c r="V79" s="8"/>
      <c r="W79" s="11"/>
      <c r="X79" s="111"/>
      <c r="Y79" s="113"/>
      <c r="Z79" s="32"/>
      <c r="AA79" s="138"/>
      <c r="AB79" s="138"/>
      <c r="AD79" s="138"/>
      <c r="AE79" s="138"/>
      <c r="AF79" s="138"/>
      <c r="AH79" s="138"/>
      <c r="AI79" s="138"/>
      <c r="AJ79" s="138"/>
      <c r="AK79" s="138"/>
      <c r="AL79" s="110"/>
      <c r="AM79" s="138"/>
      <c r="AN79" s="108"/>
      <c r="AO79" s="108"/>
      <c r="AP79" s="110"/>
      <c r="AQ79" s="110"/>
      <c r="AR79" s="143"/>
      <c r="AS79" s="110"/>
      <c r="AT79" s="108"/>
      <c r="AU79" s="108"/>
      <c r="AV79" s="108"/>
      <c r="AW79" s="108"/>
      <c r="AX79" s="143"/>
      <c r="AY79" s="108"/>
      <c r="AZ79" s="108"/>
      <c r="BA79" s="108"/>
      <c r="BB79" s="108"/>
      <c r="BC79" s="108"/>
      <c r="BD79" s="110"/>
      <c r="BE79" s="108"/>
      <c r="BF79" s="136"/>
      <c r="BG79" s="108"/>
      <c r="BH79" s="108"/>
      <c r="BI79" s="108"/>
      <c r="BJ79" s="108"/>
      <c r="BK79" s="108"/>
      <c r="BL79" s="108"/>
      <c r="BM79" s="108"/>
      <c r="BN79" s="108"/>
      <c r="BO79" s="108"/>
      <c r="BP79" s="108"/>
      <c r="BQ79" s="108"/>
      <c r="BR79" s="108"/>
      <c r="BS79" s="108"/>
      <c r="BT79" s="32"/>
      <c r="BU79" s="32"/>
    </row>
    <row r="80" spans="1:73" ht="15" customHeight="1" thickBot="1">
      <c r="A80" s="178"/>
      <c r="B80" s="51"/>
      <c r="C80" s="57"/>
      <c r="D80" s="247"/>
      <c r="E80" s="9"/>
      <c r="F80" s="235"/>
      <c r="G80" s="236"/>
      <c r="H80" s="167"/>
      <c r="I80" s="257"/>
      <c r="J80" s="5"/>
      <c r="K80" s="54"/>
      <c r="L80" s="4"/>
      <c r="M80" s="4"/>
      <c r="N80" s="4"/>
      <c r="O80" s="4"/>
      <c r="P80" s="4"/>
      <c r="Q80" s="4"/>
      <c r="R80" s="4"/>
      <c r="S80" s="4"/>
      <c r="T80" s="10"/>
      <c r="U80" s="10"/>
      <c r="V80" s="11"/>
      <c r="W80" s="41"/>
      <c r="X80" s="142"/>
      <c r="Y80" s="113"/>
      <c r="Z80" s="32"/>
      <c r="AA80" s="138" t="s">
        <v>87</v>
      </c>
      <c r="AB80" s="138"/>
      <c r="AC80" s="18" t="s">
        <v>37</v>
      </c>
      <c r="AD80" s="138"/>
      <c r="AE80" s="138"/>
      <c r="AF80" s="138"/>
      <c r="AH80" s="138"/>
      <c r="AI80" s="138"/>
      <c r="AJ80" s="138"/>
      <c r="AK80" s="138"/>
      <c r="AL80" s="110"/>
      <c r="AM80" s="138"/>
      <c r="AN80" s="108"/>
      <c r="AO80" s="108"/>
      <c r="AP80" s="110"/>
      <c r="AQ80" s="110"/>
      <c r="AR80" s="108"/>
      <c r="AS80" s="108"/>
      <c r="AT80" s="108"/>
      <c r="AU80" s="108"/>
      <c r="AV80" s="108"/>
      <c r="AW80" s="108"/>
      <c r="AX80" s="108"/>
      <c r="AY80" s="108"/>
      <c r="AZ80" s="108"/>
      <c r="BA80" s="108"/>
      <c r="BB80" s="108"/>
      <c r="BC80" s="108"/>
      <c r="BD80" s="110"/>
      <c r="BE80" s="108"/>
      <c r="BF80" s="136"/>
      <c r="BG80" s="108"/>
      <c r="BH80" s="108"/>
      <c r="BI80" s="108"/>
      <c r="BJ80" s="108"/>
      <c r="BK80" s="108"/>
      <c r="BL80" s="108"/>
      <c r="BM80" s="108"/>
      <c r="BN80" s="108"/>
      <c r="BO80" s="108"/>
      <c r="BP80" s="108"/>
      <c r="BQ80" s="108"/>
      <c r="BR80" s="108"/>
      <c r="BS80" s="108"/>
      <c r="BT80" s="32"/>
      <c r="BU80" s="32"/>
    </row>
    <row r="81" spans="1:73" ht="15" customHeight="1" thickBot="1">
      <c r="A81" s="178" t="s">
        <v>92</v>
      </c>
      <c r="B81" s="80" t="s">
        <v>77</v>
      </c>
      <c r="C81" s="82">
        <v>38537</v>
      </c>
      <c r="D81" s="244">
        <f>IF((F81=G81),"pen","")</f>
      </c>
      <c r="E81" s="25" t="str">
        <f>IF(AA72&lt;&gt;"draw",AA72,AC72)</f>
        <v>Germany</v>
      </c>
      <c r="F81" s="231">
        <v>2</v>
      </c>
      <c r="G81" s="231">
        <v>0</v>
      </c>
      <c r="H81" s="165" t="str">
        <f>IF(AA73&lt;&gt;"draw",AA73,AC73)</f>
        <v>Tunisia</v>
      </c>
      <c r="I81" s="256">
        <f>IF((F81=G81),"pen","")</f>
      </c>
      <c r="J81" s="5"/>
      <c r="K81" s="54"/>
      <c r="L81" s="4"/>
      <c r="M81" s="4"/>
      <c r="N81" s="4"/>
      <c r="O81" s="4"/>
      <c r="P81" s="4"/>
      <c r="Q81" s="4"/>
      <c r="R81" s="4"/>
      <c r="S81" s="4"/>
      <c r="T81" s="10"/>
      <c r="U81" s="10"/>
      <c r="V81" s="5"/>
      <c r="W81" s="11"/>
      <c r="X81" s="111"/>
      <c r="Y81" s="113"/>
      <c r="Z81" s="32"/>
      <c r="AA81" s="138" t="str">
        <f>IF(F81&gt;G81,E81,IF(G81&gt;F81,H81,"draw"))</f>
        <v>Germany</v>
      </c>
      <c r="AB81" s="138"/>
      <c r="AC81" s="138" t="str">
        <f>IF(D81&gt;I81,E81,IF(I81&gt;D81,H81,"Winner SF I"))</f>
        <v>Winner SF I</v>
      </c>
      <c r="AD81" s="138"/>
      <c r="AE81" s="138"/>
      <c r="AF81" s="138"/>
      <c r="AH81" s="138"/>
      <c r="AI81" s="138"/>
      <c r="AJ81" s="138"/>
      <c r="AK81" s="138"/>
      <c r="AL81" s="110"/>
      <c r="AM81" s="138"/>
      <c r="AN81" s="108"/>
      <c r="AO81" s="108"/>
      <c r="AP81" s="110"/>
      <c r="AQ81" s="110"/>
      <c r="AR81" s="108"/>
      <c r="AS81" s="110"/>
      <c r="AT81" s="108"/>
      <c r="AU81" s="108"/>
      <c r="AV81" s="108"/>
      <c r="AW81" s="108"/>
      <c r="AX81" s="108"/>
      <c r="AY81" s="108"/>
      <c r="AZ81" s="108"/>
      <c r="BA81" s="108"/>
      <c r="BB81" s="108"/>
      <c r="BC81" s="108"/>
      <c r="BD81" s="110"/>
      <c r="BE81" s="108"/>
      <c r="BF81" s="141"/>
      <c r="BG81" s="110"/>
      <c r="BH81" s="110"/>
      <c r="BI81" s="110"/>
      <c r="BJ81" s="110"/>
      <c r="BK81" s="110"/>
      <c r="BL81" s="110"/>
      <c r="BM81" s="110"/>
      <c r="BN81" s="110"/>
      <c r="BO81" s="110"/>
      <c r="BP81" s="110"/>
      <c r="BQ81" s="108"/>
      <c r="BR81" s="110"/>
      <c r="BS81" s="108"/>
      <c r="BT81" s="32"/>
      <c r="BU81" s="32"/>
    </row>
    <row r="82" spans="1:73" ht="15" customHeight="1" thickBot="1">
      <c r="A82" s="178" t="s">
        <v>93</v>
      </c>
      <c r="B82" s="80" t="s">
        <v>78</v>
      </c>
      <c r="C82" s="82">
        <v>38538</v>
      </c>
      <c r="D82" s="244">
        <f>IF((F82=G82),"pen","")</f>
      </c>
      <c r="E82" s="9" t="str">
        <f>IF(AA74&lt;&gt;"draw",AA74,AC74)</f>
        <v>Sweden</v>
      </c>
      <c r="F82" s="231">
        <v>2</v>
      </c>
      <c r="G82" s="231">
        <v>1</v>
      </c>
      <c r="H82" s="167" t="str">
        <f>IF(AA75&lt;&gt;"draw",AA75,AC75)</f>
        <v>Czech Republic</v>
      </c>
      <c r="I82" s="256">
        <f>IF((F82=G82),"pen","")</f>
      </c>
      <c r="J82" s="59"/>
      <c r="K82" s="54"/>
      <c r="L82" s="4"/>
      <c r="M82" s="4"/>
      <c r="N82" s="4"/>
      <c r="O82" s="4"/>
      <c r="P82" s="4"/>
      <c r="Q82" s="4"/>
      <c r="R82" s="4"/>
      <c r="S82" s="4"/>
      <c r="T82" s="10"/>
      <c r="U82" s="10"/>
      <c r="V82" s="7"/>
      <c r="W82" s="11"/>
      <c r="X82" s="111"/>
      <c r="Y82" s="113"/>
      <c r="Z82" s="32"/>
      <c r="AA82" s="138" t="str">
        <f>IF(F82&gt;G82,E82,IF(G82&gt;F82,H82,"draw"))</f>
        <v>Sweden</v>
      </c>
      <c r="AB82" s="138"/>
      <c r="AC82" s="138" t="str">
        <f>IF(D82&gt;I82,E82,IF(I82&gt;D82,H82,"Winner SF II"))</f>
        <v>Winner SF II</v>
      </c>
      <c r="AD82" s="138"/>
      <c r="AE82" s="138"/>
      <c r="AF82" s="138"/>
      <c r="AH82" s="138"/>
      <c r="AI82" s="138"/>
      <c r="AJ82" s="138"/>
      <c r="AK82" s="138"/>
      <c r="AL82" s="110"/>
      <c r="AM82" s="138"/>
      <c r="AN82" s="108"/>
      <c r="AO82" s="108"/>
      <c r="AP82" s="110"/>
      <c r="AQ82" s="110"/>
      <c r="AR82" s="108"/>
      <c r="AS82" s="110"/>
      <c r="AT82" s="108"/>
      <c r="AU82" s="108"/>
      <c r="AV82" s="108"/>
      <c r="AW82" s="108"/>
      <c r="AX82" s="108"/>
      <c r="AY82" s="108"/>
      <c r="AZ82" s="108"/>
      <c r="BA82" s="108"/>
      <c r="BB82" s="108"/>
      <c r="BC82" s="108"/>
      <c r="BD82" s="110"/>
      <c r="BE82" s="108"/>
      <c r="BF82" s="141"/>
      <c r="BG82" s="110"/>
      <c r="BH82" s="110"/>
      <c r="BI82" s="110"/>
      <c r="BJ82" s="110"/>
      <c r="BK82" s="110"/>
      <c r="BL82" s="110"/>
      <c r="BM82" s="110"/>
      <c r="BN82" s="110"/>
      <c r="BO82" s="110"/>
      <c r="BP82" s="110"/>
      <c r="BQ82" s="108"/>
      <c r="BR82" s="110"/>
      <c r="BS82" s="108"/>
      <c r="BT82" s="32"/>
      <c r="BU82" s="32"/>
    </row>
    <row r="83" spans="1:73" ht="15" customHeight="1">
      <c r="A83" s="178"/>
      <c r="B83" s="51"/>
      <c r="C83" s="56"/>
      <c r="D83" s="248"/>
      <c r="E83" s="47"/>
      <c r="F83" s="232"/>
      <c r="G83" s="232"/>
      <c r="H83" s="166"/>
      <c r="I83" s="258"/>
      <c r="K83" s="52"/>
      <c r="L83" s="53"/>
      <c r="M83" s="53"/>
      <c r="N83" s="53"/>
      <c r="O83" s="53"/>
      <c r="P83" s="53"/>
      <c r="Q83" s="53"/>
      <c r="R83" s="53"/>
      <c r="S83" s="53"/>
      <c r="T83" s="6"/>
      <c r="U83" s="6"/>
      <c r="V83" s="8"/>
      <c r="W83" s="5"/>
      <c r="X83" s="32"/>
      <c r="Y83" s="113"/>
      <c r="Z83" s="32"/>
      <c r="AA83" s="149"/>
      <c r="AB83" s="138"/>
      <c r="AC83" s="149"/>
      <c r="AD83" s="138"/>
      <c r="AE83" s="138"/>
      <c r="AF83" s="138"/>
      <c r="AG83" s="138"/>
      <c r="AH83" s="138"/>
      <c r="AI83" s="138"/>
      <c r="AJ83" s="138"/>
      <c r="AK83" s="138"/>
      <c r="AL83" s="110"/>
      <c r="AM83" s="138"/>
      <c r="AN83" s="108"/>
      <c r="AO83" s="108"/>
      <c r="AP83" s="110"/>
      <c r="AQ83" s="110"/>
      <c r="AR83" s="108"/>
      <c r="AS83" s="110"/>
      <c r="AT83" s="108"/>
      <c r="AU83" s="108"/>
      <c r="AV83" s="108"/>
      <c r="AW83" s="108"/>
      <c r="AX83" s="108"/>
      <c r="AY83" s="108"/>
      <c r="AZ83" s="108"/>
      <c r="BA83" s="108"/>
      <c r="BB83" s="108"/>
      <c r="BC83" s="108"/>
      <c r="BD83" s="110"/>
      <c r="BE83" s="108"/>
      <c r="BF83" s="141"/>
      <c r="BG83" s="110"/>
      <c r="BH83" s="110"/>
      <c r="BI83" s="110"/>
      <c r="BJ83" s="110"/>
      <c r="BK83" s="110"/>
      <c r="BL83" s="110"/>
      <c r="BM83" s="110"/>
      <c r="BN83" s="110"/>
      <c r="BO83" s="110"/>
      <c r="BP83" s="110"/>
      <c r="BQ83" s="108"/>
      <c r="BR83" s="110"/>
      <c r="BS83" s="108"/>
      <c r="BT83" s="32"/>
      <c r="BU83" s="32"/>
    </row>
    <row r="84" spans="1:73" ht="13.5">
      <c r="A84" s="178"/>
      <c r="B84" s="46"/>
      <c r="C84" s="20"/>
      <c r="D84" s="249"/>
      <c r="E84" s="25"/>
      <c r="F84" s="232"/>
      <c r="G84" s="232"/>
      <c r="H84" s="167"/>
      <c r="I84" s="257"/>
      <c r="J84" s="58"/>
      <c r="K84" s="54"/>
      <c r="L84" s="4"/>
      <c r="M84" s="4"/>
      <c r="N84" s="4"/>
      <c r="O84" s="4"/>
      <c r="P84" s="4"/>
      <c r="Q84" s="4"/>
      <c r="R84" s="4"/>
      <c r="S84" s="4"/>
      <c r="T84" s="6"/>
      <c r="U84" s="6"/>
      <c r="V84" s="5"/>
      <c r="W84" s="5"/>
      <c r="X84" s="32"/>
      <c r="Y84" s="113"/>
      <c r="Z84" s="32"/>
      <c r="AA84" s="18"/>
      <c r="AB84" s="138"/>
      <c r="AD84" s="138"/>
      <c r="AE84" s="138"/>
      <c r="AF84" s="138"/>
      <c r="AG84" s="138"/>
      <c r="AH84" s="138"/>
      <c r="AI84" s="138"/>
      <c r="AJ84" s="138"/>
      <c r="AK84" s="138"/>
      <c r="AL84" s="110"/>
      <c r="AM84" s="138"/>
      <c r="AN84" s="108"/>
      <c r="AO84" s="108"/>
      <c r="AP84" s="110"/>
      <c r="AQ84" s="110"/>
      <c r="AR84" s="108"/>
      <c r="AS84" s="110"/>
      <c r="AT84" s="108"/>
      <c r="AU84" s="108"/>
      <c r="AV84" s="108"/>
      <c r="AW84" s="108"/>
      <c r="AX84" s="108"/>
      <c r="AY84" s="108"/>
      <c r="AZ84" s="108"/>
      <c r="BA84" s="108"/>
      <c r="BB84" s="108"/>
      <c r="BC84" s="108"/>
      <c r="BD84" s="110"/>
      <c r="BE84" s="108"/>
      <c r="BF84" s="136"/>
      <c r="BG84" s="108"/>
      <c r="BH84" s="108"/>
      <c r="BI84" s="108"/>
      <c r="BJ84" s="108"/>
      <c r="BK84" s="108"/>
      <c r="BL84" s="108"/>
      <c r="BM84" s="108"/>
      <c r="BN84" s="108"/>
      <c r="BO84" s="108"/>
      <c r="BP84" s="108"/>
      <c r="BQ84" s="108"/>
      <c r="BR84" s="108"/>
      <c r="BS84" s="108"/>
      <c r="BT84" s="32"/>
      <c r="BU84" s="32"/>
    </row>
    <row r="85" spans="1:73" ht="18.75">
      <c r="A85" s="51"/>
      <c r="B85" s="98" t="s">
        <v>35</v>
      </c>
      <c r="C85" s="100"/>
      <c r="D85" s="250"/>
      <c r="E85" s="102"/>
      <c r="F85" s="233"/>
      <c r="G85" s="233"/>
      <c r="H85" s="164"/>
      <c r="I85" s="252"/>
      <c r="J85" s="58"/>
      <c r="K85" s="54"/>
      <c r="L85" s="4"/>
      <c r="M85" s="4"/>
      <c r="N85" s="4"/>
      <c r="O85" s="4"/>
      <c r="P85" s="4"/>
      <c r="Q85" s="4"/>
      <c r="R85" s="4"/>
      <c r="S85" s="4"/>
      <c r="T85" s="6"/>
      <c r="U85" s="6"/>
      <c r="V85" s="55"/>
      <c r="W85" s="5"/>
      <c r="X85" s="32"/>
      <c r="Y85" s="113"/>
      <c r="Z85" s="32"/>
      <c r="AA85" s="138"/>
      <c r="AB85" s="138"/>
      <c r="AC85" s="138"/>
      <c r="AD85" s="138"/>
      <c r="AE85" s="138"/>
      <c r="AF85" s="138"/>
      <c r="AG85" s="138"/>
      <c r="AH85" s="138"/>
      <c r="AI85" s="138"/>
      <c r="AJ85" s="138"/>
      <c r="AK85" s="138"/>
      <c r="AL85" s="110"/>
      <c r="AM85" s="138"/>
      <c r="AN85" s="108"/>
      <c r="AO85" s="108"/>
      <c r="AP85" s="110"/>
      <c r="AQ85" s="110"/>
      <c r="AR85" s="143"/>
      <c r="AS85" s="110"/>
      <c r="AT85" s="108"/>
      <c r="AU85" s="108"/>
      <c r="AV85" s="108"/>
      <c r="AW85" s="108"/>
      <c r="AX85" s="108"/>
      <c r="AY85" s="108"/>
      <c r="AZ85" s="108"/>
      <c r="BA85" s="108"/>
      <c r="BB85" s="108"/>
      <c r="BC85" s="108"/>
      <c r="BD85" s="110"/>
      <c r="BE85" s="108"/>
      <c r="BF85" s="136"/>
      <c r="BG85" s="108"/>
      <c r="BH85" s="108"/>
      <c r="BI85" s="108"/>
      <c r="BJ85" s="108"/>
      <c r="BK85" s="108"/>
      <c r="BL85" s="108"/>
      <c r="BM85" s="108"/>
      <c r="BN85" s="108"/>
      <c r="BO85" s="108"/>
      <c r="BP85" s="108"/>
      <c r="BQ85" s="108"/>
      <c r="BR85" s="108"/>
      <c r="BS85" s="108"/>
      <c r="BT85" s="32"/>
      <c r="BU85" s="32"/>
    </row>
    <row r="86" spans="1:73" ht="15" customHeight="1">
      <c r="A86" s="51"/>
      <c r="B86" s="76"/>
      <c r="C86" s="81" t="s">
        <v>5</v>
      </c>
      <c r="D86" s="234"/>
      <c r="E86" s="77"/>
      <c r="F86" s="234"/>
      <c r="G86" s="234"/>
      <c r="H86" s="161"/>
      <c r="I86" s="254"/>
      <c r="K86" s="54"/>
      <c r="L86" s="4"/>
      <c r="M86" s="4"/>
      <c r="N86" s="4"/>
      <c r="O86" s="4"/>
      <c r="P86" s="4"/>
      <c r="Q86" s="4"/>
      <c r="R86" s="4"/>
      <c r="S86" s="4"/>
      <c r="T86" s="6"/>
      <c r="U86" s="6"/>
      <c r="V86" s="7"/>
      <c r="W86" s="5"/>
      <c r="X86" s="32"/>
      <c r="Y86" s="113"/>
      <c r="Z86" s="32"/>
      <c r="AA86" s="138"/>
      <c r="AB86" s="138"/>
      <c r="AC86" s="138"/>
      <c r="AD86" s="138"/>
      <c r="AE86" s="138"/>
      <c r="AF86" s="138"/>
      <c r="AG86" s="138"/>
      <c r="AH86" s="138"/>
      <c r="AI86" s="138"/>
      <c r="AJ86" s="138"/>
      <c r="AK86" s="138"/>
      <c r="AL86" s="110"/>
      <c r="AM86" s="138"/>
      <c r="AN86" s="108"/>
      <c r="AO86" s="108"/>
      <c r="AP86" s="110"/>
      <c r="AQ86" s="110"/>
      <c r="AR86" s="108"/>
      <c r="AS86" s="108"/>
      <c r="AT86" s="108"/>
      <c r="AU86" s="108"/>
      <c r="AV86" s="108"/>
      <c r="AW86" s="108"/>
      <c r="AX86" s="108"/>
      <c r="AY86" s="108"/>
      <c r="AZ86" s="108"/>
      <c r="BA86" s="108"/>
      <c r="BB86" s="108"/>
      <c r="BC86" s="108"/>
      <c r="BD86" s="110"/>
      <c r="BE86" s="108"/>
      <c r="BF86" s="136"/>
      <c r="BG86" s="108"/>
      <c r="BH86" s="108"/>
      <c r="BI86" s="108"/>
      <c r="BJ86" s="108"/>
      <c r="BK86" s="108"/>
      <c r="BL86" s="108"/>
      <c r="BM86" s="108"/>
      <c r="BN86" s="108"/>
      <c r="BO86" s="108"/>
      <c r="BP86" s="108"/>
      <c r="BQ86" s="108"/>
      <c r="BR86" s="108"/>
      <c r="BS86" s="108"/>
      <c r="BT86" s="32"/>
      <c r="BU86" s="32"/>
    </row>
    <row r="87" spans="1:73" ht="15" customHeight="1" thickBot="1">
      <c r="A87" s="51"/>
      <c r="B87" s="54"/>
      <c r="C87" s="19"/>
      <c r="D87" s="237"/>
      <c r="E87" s="47"/>
      <c r="F87" s="237"/>
      <c r="G87" s="237"/>
      <c r="H87" s="166"/>
      <c r="I87" s="258"/>
      <c r="J87" s="5"/>
      <c r="K87" s="54"/>
      <c r="L87" s="4"/>
      <c r="M87" s="4"/>
      <c r="N87" s="4"/>
      <c r="O87" s="4"/>
      <c r="P87" s="4"/>
      <c r="Q87" s="4"/>
      <c r="R87" s="4"/>
      <c r="S87" s="4"/>
      <c r="T87" s="6"/>
      <c r="U87" s="6"/>
      <c r="V87" s="8"/>
      <c r="W87" s="54"/>
      <c r="X87" s="146"/>
      <c r="Y87" s="113"/>
      <c r="Z87" s="32"/>
      <c r="AB87" s="138"/>
      <c r="AC87" s="18" t="s">
        <v>37</v>
      </c>
      <c r="AD87" s="138"/>
      <c r="AE87" s="138"/>
      <c r="AF87" s="138"/>
      <c r="AG87" s="138"/>
      <c r="AH87" s="138"/>
      <c r="AI87" s="138"/>
      <c r="AJ87" s="138"/>
      <c r="AK87" s="138"/>
      <c r="AL87" s="110"/>
      <c r="AM87" s="138"/>
      <c r="AN87" s="108"/>
      <c r="AO87" s="108"/>
      <c r="AP87" s="110"/>
      <c r="AQ87" s="110"/>
      <c r="AR87" s="108"/>
      <c r="AS87" s="110"/>
      <c r="AT87" s="108"/>
      <c r="AU87" s="108"/>
      <c r="AV87" s="108"/>
      <c r="AW87" s="108"/>
      <c r="AX87" s="108"/>
      <c r="AY87" s="108"/>
      <c r="AZ87" s="108"/>
      <c r="BA87" s="108"/>
      <c r="BB87" s="108"/>
      <c r="BC87" s="108"/>
      <c r="BD87" s="110"/>
      <c r="BE87" s="108"/>
      <c r="BF87" s="141"/>
      <c r="BG87" s="110"/>
      <c r="BH87" s="110"/>
      <c r="BI87" s="110"/>
      <c r="BJ87" s="110"/>
      <c r="BK87" s="110"/>
      <c r="BL87" s="110"/>
      <c r="BM87" s="110"/>
      <c r="BN87" s="110"/>
      <c r="BO87" s="110"/>
      <c r="BP87" s="110"/>
      <c r="BQ87" s="108"/>
      <c r="BR87" s="110"/>
      <c r="BS87" s="108"/>
      <c r="BT87" s="32"/>
      <c r="BU87" s="32"/>
    </row>
    <row r="88" spans="1:73" ht="15" customHeight="1" thickBot="1">
      <c r="A88" s="51"/>
      <c r="B88" s="80" t="s">
        <v>75</v>
      </c>
      <c r="C88" s="82">
        <v>38542</v>
      </c>
      <c r="D88" s="244">
        <f>IF((F88=G88),"pen","")</f>
      </c>
      <c r="E88" s="25" t="str">
        <f>IF(AA81&lt;&gt;"draw",AA81,AC81)</f>
        <v>Germany</v>
      </c>
      <c r="F88" s="231">
        <v>2</v>
      </c>
      <c r="G88" s="231">
        <v>1</v>
      </c>
      <c r="H88" s="165" t="str">
        <f>IF(AA82&lt;&gt;"draw",AA82,AC82)</f>
        <v>Sweden</v>
      </c>
      <c r="I88" s="251">
        <f>IF((F88=G88),"pen","")</f>
      </c>
      <c r="J88" s="5"/>
      <c r="K88" s="5"/>
      <c r="L88" s="4"/>
      <c r="M88" s="4"/>
      <c r="N88" s="4"/>
      <c r="O88" s="4"/>
      <c r="P88" s="4"/>
      <c r="Q88" s="4"/>
      <c r="R88" s="4"/>
      <c r="S88" s="4"/>
      <c r="T88" s="6"/>
      <c r="U88" s="6"/>
      <c r="V88" s="41"/>
      <c r="W88" s="5"/>
      <c r="X88" s="32"/>
      <c r="Y88" s="113"/>
      <c r="Z88" s="32"/>
      <c r="AA88" s="138" t="str">
        <f>IF(F88&gt;G88,E88,IF(G88&gt;F88,H88,"draw"))</f>
        <v>Germany</v>
      </c>
      <c r="AB88" s="138"/>
      <c r="AC88" s="138">
        <f>IF(D88&gt;I88,E88,IF(I88&gt;D88,H88,""))</f>
      </c>
      <c r="AD88" s="138"/>
      <c r="AE88" s="138"/>
      <c r="AF88" s="138"/>
      <c r="AG88" s="138"/>
      <c r="AH88" s="138"/>
      <c r="AI88" s="138"/>
      <c r="AJ88" s="138"/>
      <c r="AK88" s="138"/>
      <c r="AL88" s="110"/>
      <c r="AM88" s="138"/>
      <c r="AN88" s="108"/>
      <c r="AO88" s="108"/>
      <c r="AP88" s="110"/>
      <c r="AQ88" s="110"/>
      <c r="AR88" s="108"/>
      <c r="AS88" s="110"/>
      <c r="AT88" s="108"/>
      <c r="AU88" s="108"/>
      <c r="AV88" s="108"/>
      <c r="AW88" s="108"/>
      <c r="AX88" s="108"/>
      <c r="AY88" s="108"/>
      <c r="AZ88" s="108"/>
      <c r="BA88" s="108"/>
      <c r="BB88" s="108"/>
      <c r="BC88" s="108"/>
      <c r="BD88" s="110"/>
      <c r="BE88" s="108"/>
      <c r="BF88" s="141"/>
      <c r="BG88" s="110"/>
      <c r="BH88" s="110"/>
      <c r="BI88" s="110"/>
      <c r="BJ88" s="110"/>
      <c r="BK88" s="110"/>
      <c r="BL88" s="110"/>
      <c r="BM88" s="110"/>
      <c r="BN88" s="110"/>
      <c r="BO88" s="110"/>
      <c r="BP88" s="110"/>
      <c r="BQ88" s="108"/>
      <c r="BR88" s="110"/>
      <c r="BS88" s="108"/>
      <c r="BT88" s="32"/>
      <c r="BU88" s="32"/>
    </row>
    <row r="89" spans="1:73" ht="15" customHeight="1">
      <c r="A89" s="51"/>
      <c r="B89" s="80"/>
      <c r="C89" s="20"/>
      <c r="D89" s="247"/>
      <c r="E89" s="9"/>
      <c r="F89" s="2"/>
      <c r="G89" s="1"/>
      <c r="H89" s="165"/>
      <c r="I89" s="259"/>
      <c r="J89" s="5"/>
      <c r="K89" s="5"/>
      <c r="L89" s="4"/>
      <c r="M89" s="4"/>
      <c r="N89" s="4"/>
      <c r="O89" s="4"/>
      <c r="P89" s="4"/>
      <c r="Q89" s="4"/>
      <c r="R89" s="4"/>
      <c r="S89" s="4"/>
      <c r="T89" s="6"/>
      <c r="U89" s="6"/>
      <c r="V89" s="11"/>
      <c r="W89" s="5"/>
      <c r="X89" s="32"/>
      <c r="Y89" s="113"/>
      <c r="Z89" s="32"/>
      <c r="AA89" s="110"/>
      <c r="AB89" s="138"/>
      <c r="AC89" s="138"/>
      <c r="AD89" s="138"/>
      <c r="AE89" s="138"/>
      <c r="AF89" s="138"/>
      <c r="AG89" s="138"/>
      <c r="AH89" s="138"/>
      <c r="AI89" s="138"/>
      <c r="AJ89" s="138"/>
      <c r="AK89" s="138"/>
      <c r="AL89" s="110"/>
      <c r="AM89" s="138"/>
      <c r="AN89" s="108"/>
      <c r="AO89" s="108"/>
      <c r="AP89" s="110"/>
      <c r="AQ89" s="110"/>
      <c r="AR89" s="108"/>
      <c r="AS89" s="110"/>
      <c r="AT89" s="108"/>
      <c r="AU89" s="108"/>
      <c r="AV89" s="108"/>
      <c r="AW89" s="108"/>
      <c r="AX89" s="108"/>
      <c r="AY89" s="108"/>
      <c r="AZ89" s="108"/>
      <c r="BA89" s="108"/>
      <c r="BB89" s="108"/>
      <c r="BC89" s="108"/>
      <c r="BD89" s="110"/>
      <c r="BE89" s="108"/>
      <c r="BF89" s="141"/>
      <c r="BG89" s="110"/>
      <c r="BH89" s="110"/>
      <c r="BI89" s="110"/>
      <c r="BJ89" s="110"/>
      <c r="BK89" s="110"/>
      <c r="BL89" s="110"/>
      <c r="BM89" s="110"/>
      <c r="BN89" s="110"/>
      <c r="BO89" s="110"/>
      <c r="BP89" s="110"/>
      <c r="BQ89" s="108"/>
      <c r="BR89" s="110"/>
      <c r="BS89" s="108"/>
      <c r="BT89" s="32"/>
      <c r="BU89" s="32"/>
    </row>
    <row r="90" spans="1:73" ht="15" customHeight="1" thickBot="1">
      <c r="A90" s="51"/>
      <c r="B90" s="48"/>
      <c r="C90" s="20"/>
      <c r="D90" s="5"/>
      <c r="E90" s="9"/>
      <c r="F90" s="2"/>
      <c r="G90" s="1"/>
      <c r="H90" s="165"/>
      <c r="I90" s="21"/>
      <c r="J90" s="5"/>
      <c r="K90" s="60"/>
      <c r="L90" s="61"/>
      <c r="M90" s="61"/>
      <c r="N90" s="61"/>
      <c r="O90" s="61"/>
      <c r="P90" s="61"/>
      <c r="Q90" s="61"/>
      <c r="R90" s="61"/>
      <c r="S90" s="61"/>
      <c r="T90" s="6"/>
      <c r="U90" s="6"/>
      <c r="V90" s="11"/>
      <c r="W90" s="41"/>
      <c r="X90" s="142"/>
      <c r="Y90" s="113"/>
      <c r="Z90" s="32"/>
      <c r="AA90" s="110"/>
      <c r="AB90" s="138"/>
      <c r="AC90" s="138"/>
      <c r="AD90" s="138"/>
      <c r="AE90" s="138"/>
      <c r="AF90" s="138"/>
      <c r="AG90" s="138"/>
      <c r="AH90" s="138"/>
      <c r="AI90" s="138"/>
      <c r="AJ90" s="138"/>
      <c r="AK90" s="138"/>
      <c r="AL90" s="110"/>
      <c r="AM90" s="138"/>
      <c r="AN90" s="108"/>
      <c r="AO90" s="108"/>
      <c r="AP90" s="110"/>
      <c r="AQ90" s="110"/>
      <c r="AR90" s="108"/>
      <c r="AS90" s="110"/>
      <c r="AT90" s="108"/>
      <c r="AU90" s="108"/>
      <c r="AV90" s="108"/>
      <c r="AW90" s="108"/>
      <c r="AX90" s="108"/>
      <c r="AY90" s="108"/>
      <c r="AZ90" s="108"/>
      <c r="BA90" s="108"/>
      <c r="BB90" s="108"/>
      <c r="BC90" s="108"/>
      <c r="BD90" s="110"/>
      <c r="BE90" s="108"/>
      <c r="BF90" s="141"/>
      <c r="BG90" s="110"/>
      <c r="BH90" s="110"/>
      <c r="BI90" s="110"/>
      <c r="BJ90" s="110"/>
      <c r="BK90" s="110"/>
      <c r="BL90" s="110"/>
      <c r="BM90" s="110"/>
      <c r="BN90" s="110"/>
      <c r="BO90" s="110"/>
      <c r="BP90" s="110"/>
      <c r="BQ90" s="108"/>
      <c r="BR90" s="110"/>
      <c r="BS90" s="108"/>
      <c r="BT90" s="32"/>
      <c r="BU90" s="32"/>
    </row>
    <row r="91" spans="1:73" ht="39.75" customHeight="1" thickBot="1">
      <c r="A91" s="51"/>
      <c r="B91" s="185" t="s">
        <v>36</v>
      </c>
      <c r="C91" s="186"/>
      <c r="D91" s="187"/>
      <c r="E91" s="188" t="str">
        <f>IF(AA88&lt;&gt;"draw",AA88,AC88)</f>
        <v>Germany</v>
      </c>
      <c r="F91" s="189"/>
      <c r="G91" s="189"/>
      <c r="H91" s="190"/>
      <c r="I91" s="191"/>
      <c r="K91" s="5"/>
      <c r="L91" s="4"/>
      <c r="M91" s="4"/>
      <c r="N91" s="4"/>
      <c r="O91" s="4"/>
      <c r="P91" s="4"/>
      <c r="Q91" s="4"/>
      <c r="R91" s="4"/>
      <c r="S91" s="4"/>
      <c r="T91" s="6"/>
      <c r="U91" s="6"/>
      <c r="V91" s="41"/>
      <c r="W91" s="11"/>
      <c r="X91" s="111"/>
      <c r="Y91" s="113"/>
      <c r="Z91" s="32"/>
      <c r="AA91" s="110"/>
      <c r="AB91" s="138"/>
      <c r="AC91" s="138"/>
      <c r="AD91" s="138"/>
      <c r="AE91" s="138"/>
      <c r="AF91" s="138"/>
      <c r="AG91" s="138"/>
      <c r="AH91" s="138"/>
      <c r="AI91" s="138"/>
      <c r="AJ91" s="138"/>
      <c r="AK91" s="138"/>
      <c r="AL91" s="110"/>
      <c r="AM91" s="138"/>
      <c r="AN91" s="108"/>
      <c r="AO91" s="108"/>
      <c r="AP91" s="110"/>
      <c r="AQ91" s="110"/>
      <c r="AR91" s="108"/>
      <c r="AS91" s="110"/>
      <c r="AT91" s="108"/>
      <c r="AU91" s="108"/>
      <c r="AV91" s="108"/>
      <c r="AW91" s="108"/>
      <c r="AX91" s="108"/>
      <c r="AY91" s="108"/>
      <c r="AZ91" s="108"/>
      <c r="BA91" s="108"/>
      <c r="BB91" s="108"/>
      <c r="BC91" s="108"/>
      <c r="BD91" s="110"/>
      <c r="BE91" s="108"/>
      <c r="BF91" s="136"/>
      <c r="BG91" s="108"/>
      <c r="BH91" s="108"/>
      <c r="BI91" s="108"/>
      <c r="BJ91" s="108"/>
      <c r="BK91" s="108"/>
      <c r="BL91" s="108"/>
      <c r="BM91" s="108"/>
      <c r="BN91" s="108"/>
      <c r="BO91" s="108"/>
      <c r="BP91" s="108"/>
      <c r="BQ91" s="108"/>
      <c r="BR91" s="108"/>
      <c r="BS91" s="108"/>
      <c r="BT91" s="32"/>
      <c r="BU91" s="32"/>
    </row>
    <row r="92" spans="1:73" ht="13.5">
      <c r="A92" s="51"/>
      <c r="J92" s="21"/>
      <c r="K92" s="5"/>
      <c r="L92" s="4"/>
      <c r="M92" s="4"/>
      <c r="N92" s="4"/>
      <c r="O92" s="4"/>
      <c r="P92" s="4"/>
      <c r="Q92" s="4"/>
      <c r="R92" s="4"/>
      <c r="S92" s="4"/>
      <c r="T92" s="6"/>
      <c r="U92" s="6"/>
      <c r="V92" s="11"/>
      <c r="W92" s="11"/>
      <c r="X92" s="111"/>
      <c r="Y92" s="32"/>
      <c r="Z92" s="32"/>
      <c r="AA92" s="108"/>
      <c r="AB92" s="135"/>
      <c r="AC92" s="135"/>
      <c r="AD92" s="135"/>
      <c r="AE92" s="135"/>
      <c r="AF92" s="135"/>
      <c r="AG92" s="135"/>
      <c r="AH92" s="135"/>
      <c r="AI92" s="135"/>
      <c r="AJ92" s="135"/>
      <c r="AK92" s="135"/>
      <c r="AL92" s="135"/>
      <c r="AM92" s="135"/>
      <c r="AN92" s="108"/>
      <c r="AO92" s="108"/>
      <c r="AP92" s="110"/>
      <c r="AQ92" s="110"/>
      <c r="AR92" s="143"/>
      <c r="AS92" s="110"/>
      <c r="AT92" s="108"/>
      <c r="AU92" s="108"/>
      <c r="AV92" s="108"/>
      <c r="AW92" s="108"/>
      <c r="AX92" s="108"/>
      <c r="AY92" s="108"/>
      <c r="AZ92" s="108"/>
      <c r="BA92" s="108"/>
      <c r="BB92" s="108"/>
      <c r="BC92" s="108"/>
      <c r="BD92" s="110"/>
      <c r="BE92" s="108"/>
      <c r="BF92" s="136"/>
      <c r="BG92" s="108"/>
      <c r="BH92" s="108"/>
      <c r="BI92" s="108"/>
      <c r="BJ92" s="108"/>
      <c r="BK92" s="108"/>
      <c r="BL92" s="108"/>
      <c r="BM92" s="108"/>
      <c r="BN92" s="108"/>
      <c r="BO92" s="108"/>
      <c r="BP92" s="108"/>
      <c r="BQ92" s="108"/>
      <c r="BR92" s="108"/>
      <c r="BS92" s="108"/>
      <c r="BT92" s="32"/>
      <c r="BU92" s="32"/>
    </row>
    <row r="93" spans="1:73" ht="13.5">
      <c r="A93" s="51"/>
      <c r="J93" s="21"/>
      <c r="K93" s="5"/>
      <c r="L93" s="4"/>
      <c r="M93" s="4"/>
      <c r="N93" s="4"/>
      <c r="O93" s="4"/>
      <c r="P93" s="4"/>
      <c r="Q93" s="4"/>
      <c r="R93" s="4"/>
      <c r="S93" s="4"/>
      <c r="T93" s="6"/>
      <c r="U93" s="6"/>
      <c r="V93" s="11"/>
      <c r="W93" s="41"/>
      <c r="X93" s="142"/>
      <c r="Y93" s="32"/>
      <c r="Z93" s="32"/>
      <c r="AA93" s="108"/>
      <c r="AB93" s="135"/>
      <c r="AC93" s="135"/>
      <c r="AD93" s="135"/>
      <c r="AE93" s="135"/>
      <c r="AF93" s="135"/>
      <c r="AG93" s="135"/>
      <c r="AH93" s="135"/>
      <c r="AI93" s="135"/>
      <c r="AJ93" s="135"/>
      <c r="AK93" s="135"/>
      <c r="AL93" s="135"/>
      <c r="AM93" s="135"/>
      <c r="AN93" s="108"/>
      <c r="AO93" s="108"/>
      <c r="AP93" s="110"/>
      <c r="AQ93" s="110"/>
      <c r="AR93" s="108"/>
      <c r="AS93" s="108"/>
      <c r="AT93" s="108"/>
      <c r="AU93" s="108"/>
      <c r="AV93" s="108"/>
      <c r="AW93" s="108"/>
      <c r="AX93" s="108"/>
      <c r="AY93" s="108"/>
      <c r="AZ93" s="108"/>
      <c r="BA93" s="108"/>
      <c r="BB93" s="108"/>
      <c r="BC93" s="108"/>
      <c r="BD93" s="110"/>
      <c r="BE93" s="108"/>
      <c r="BF93" s="136"/>
      <c r="BG93" s="108"/>
      <c r="BH93" s="108"/>
      <c r="BI93" s="108"/>
      <c r="BJ93" s="108"/>
      <c r="BK93" s="108"/>
      <c r="BL93" s="108"/>
      <c r="BM93" s="108"/>
      <c r="BN93" s="108"/>
      <c r="BO93" s="108"/>
      <c r="BP93" s="108"/>
      <c r="BQ93" s="108"/>
      <c r="BR93" s="108"/>
      <c r="BS93" s="108"/>
      <c r="BT93" s="32"/>
      <c r="BU93" s="32"/>
    </row>
    <row r="94" spans="1:73" ht="13.5">
      <c r="A94" s="51"/>
      <c r="K94" s="5"/>
      <c r="L94" s="5"/>
      <c r="M94" s="5"/>
      <c r="N94" s="5"/>
      <c r="O94" s="5"/>
      <c r="P94" s="5"/>
      <c r="Q94" s="5"/>
      <c r="R94" s="5"/>
      <c r="S94" s="4"/>
      <c r="T94" s="6"/>
      <c r="U94" s="6"/>
      <c r="V94" s="4"/>
      <c r="W94" s="11"/>
      <c r="X94" s="111"/>
      <c r="Y94" s="32"/>
      <c r="Z94" s="32"/>
      <c r="AA94" s="108"/>
      <c r="AB94" s="135"/>
      <c r="AC94" s="135"/>
      <c r="AD94" s="135"/>
      <c r="AE94" s="135"/>
      <c r="AF94" s="135"/>
      <c r="AG94" s="135"/>
      <c r="AH94" s="135"/>
      <c r="AI94" s="135"/>
      <c r="AJ94" s="135"/>
      <c r="AK94" s="135"/>
      <c r="AL94" s="135"/>
      <c r="AM94" s="135"/>
      <c r="AN94" s="108"/>
      <c r="AO94" s="108"/>
      <c r="AP94" s="110"/>
      <c r="AQ94" s="110"/>
      <c r="AR94" s="108"/>
      <c r="AS94" s="110"/>
      <c r="AT94" s="108"/>
      <c r="AU94" s="108"/>
      <c r="AV94" s="108"/>
      <c r="AW94" s="108"/>
      <c r="AX94" s="108"/>
      <c r="AY94" s="108"/>
      <c r="AZ94" s="108"/>
      <c r="BA94" s="108"/>
      <c r="BB94" s="108"/>
      <c r="BC94" s="108"/>
      <c r="BD94" s="110"/>
      <c r="BE94" s="108"/>
      <c r="BF94" s="141"/>
      <c r="BG94" s="110"/>
      <c r="BH94" s="110"/>
      <c r="BI94" s="110"/>
      <c r="BJ94" s="110"/>
      <c r="BK94" s="110"/>
      <c r="BL94" s="110"/>
      <c r="BM94" s="110"/>
      <c r="BN94" s="110"/>
      <c r="BO94" s="110"/>
      <c r="BP94" s="110"/>
      <c r="BQ94" s="108"/>
      <c r="BR94" s="110"/>
      <c r="BS94" s="108"/>
      <c r="BT94" s="32"/>
      <c r="BU94" s="32"/>
    </row>
    <row r="95" spans="1:73" ht="13.5">
      <c r="A95" s="51"/>
      <c r="J95" s="21"/>
      <c r="K95" s="60"/>
      <c r="L95" s="60"/>
      <c r="M95" s="60"/>
      <c r="N95" s="60"/>
      <c r="O95" s="60"/>
      <c r="P95" s="60"/>
      <c r="Q95" s="60"/>
      <c r="R95" s="60"/>
      <c r="S95" s="61"/>
      <c r="T95" s="6"/>
      <c r="U95" s="6"/>
      <c r="V95" s="10"/>
      <c r="W95" s="11"/>
      <c r="X95" s="111"/>
      <c r="Y95" s="32"/>
      <c r="Z95" s="32"/>
      <c r="AA95" s="108"/>
      <c r="AB95" s="135"/>
      <c r="AC95" s="135"/>
      <c r="AD95" s="135"/>
      <c r="AE95" s="135"/>
      <c r="AF95" s="135"/>
      <c r="AG95" s="135"/>
      <c r="AH95" s="135"/>
      <c r="AI95" s="135"/>
      <c r="AJ95" s="135"/>
      <c r="AK95" s="135"/>
      <c r="AL95" s="135"/>
      <c r="AM95" s="135"/>
      <c r="AN95" s="108"/>
      <c r="AO95" s="108"/>
      <c r="AP95" s="110"/>
      <c r="AQ95" s="110"/>
      <c r="AR95" s="108"/>
      <c r="AS95" s="110"/>
      <c r="AT95" s="108"/>
      <c r="AU95" s="108"/>
      <c r="AV95" s="108"/>
      <c r="AW95" s="108"/>
      <c r="AX95" s="108"/>
      <c r="AY95" s="108"/>
      <c r="AZ95" s="108"/>
      <c r="BA95" s="108"/>
      <c r="BB95" s="108"/>
      <c r="BC95" s="108"/>
      <c r="BD95" s="110"/>
      <c r="BE95" s="108"/>
      <c r="BF95" s="141"/>
      <c r="BG95" s="110"/>
      <c r="BH95" s="110"/>
      <c r="BI95" s="110"/>
      <c r="BJ95" s="110"/>
      <c r="BK95" s="110"/>
      <c r="BL95" s="110"/>
      <c r="BM95" s="110"/>
      <c r="BN95" s="110"/>
      <c r="BO95" s="110"/>
      <c r="BP95" s="110"/>
      <c r="BQ95" s="108"/>
      <c r="BR95" s="110"/>
      <c r="BS95" s="108"/>
      <c r="BT95" s="32"/>
      <c r="BU95" s="32"/>
    </row>
    <row r="96" spans="1:73" ht="13.5">
      <c r="A96" s="51"/>
      <c r="B96" s="5"/>
      <c r="C96" s="5"/>
      <c r="D96" s="5"/>
      <c r="E96" s="9"/>
      <c r="F96" s="5"/>
      <c r="G96" s="5"/>
      <c r="H96" s="167"/>
      <c r="I96" s="5"/>
      <c r="J96" s="5"/>
      <c r="K96" s="60"/>
      <c r="L96" s="60"/>
      <c r="M96" s="60"/>
      <c r="N96" s="60"/>
      <c r="O96" s="60"/>
      <c r="P96" s="60"/>
      <c r="Q96" s="60"/>
      <c r="R96" s="60"/>
      <c r="S96" s="64"/>
      <c r="T96" s="6"/>
      <c r="U96" s="6"/>
      <c r="V96" s="10"/>
      <c r="W96" s="41"/>
      <c r="X96" s="32"/>
      <c r="Y96" s="32"/>
      <c r="Z96" s="32"/>
      <c r="AB96" s="32"/>
      <c r="AC96" s="32"/>
      <c r="AD96" s="32"/>
      <c r="AE96" s="32"/>
      <c r="AF96" s="32"/>
      <c r="AH96" s="18"/>
      <c r="AI96" s="32"/>
      <c r="AJ96" s="18"/>
      <c r="AK96" s="32"/>
      <c r="AL96" s="108"/>
      <c r="AM96" s="108"/>
      <c r="AN96" s="32"/>
      <c r="AO96" s="108"/>
      <c r="AP96" s="110"/>
      <c r="AQ96" s="110"/>
      <c r="AR96" s="108"/>
      <c r="AS96" s="110"/>
      <c r="AT96" s="108"/>
      <c r="AU96" s="108"/>
      <c r="AV96" s="108"/>
      <c r="AW96" s="108"/>
      <c r="AX96" s="108"/>
      <c r="AY96" s="108"/>
      <c r="AZ96" s="108"/>
      <c r="BA96" s="108"/>
      <c r="BB96" s="108"/>
      <c r="BC96" s="108"/>
      <c r="BD96" s="110"/>
      <c r="BE96" s="108"/>
      <c r="BF96" s="141"/>
      <c r="BG96" s="110"/>
      <c r="BH96" s="110"/>
      <c r="BI96" s="110"/>
      <c r="BJ96" s="110"/>
      <c r="BK96" s="110"/>
      <c r="BL96" s="110"/>
      <c r="BM96" s="110"/>
      <c r="BN96" s="110"/>
      <c r="BO96" s="110"/>
      <c r="BP96" s="110"/>
      <c r="BQ96" s="108"/>
      <c r="BR96" s="110"/>
      <c r="BS96" s="108"/>
      <c r="BT96" s="32"/>
      <c r="BU96" s="32"/>
    </row>
    <row r="97" spans="1:73" ht="13.5">
      <c r="A97" s="62"/>
      <c r="B97" s="60"/>
      <c r="C97" s="60"/>
      <c r="D97" s="60"/>
      <c r="E97" s="71"/>
      <c r="F97" s="60"/>
      <c r="G97" s="60"/>
      <c r="H97" s="168"/>
      <c r="I97" s="60"/>
      <c r="J97" s="60"/>
      <c r="K97" s="60"/>
      <c r="L97" s="60"/>
      <c r="M97" s="60"/>
      <c r="N97" s="60"/>
      <c r="O97" s="60"/>
      <c r="P97" s="60"/>
      <c r="Q97" s="60"/>
      <c r="R97" s="60"/>
      <c r="S97" s="64"/>
      <c r="T97" s="63"/>
      <c r="U97" s="63"/>
      <c r="V97" s="10"/>
      <c r="W97" s="13"/>
      <c r="X97" s="114"/>
      <c r="Y97" s="114"/>
      <c r="Z97" s="114"/>
      <c r="AB97" s="114"/>
      <c r="AC97" s="114"/>
      <c r="AD97" s="114"/>
      <c r="AE97" s="114"/>
      <c r="AF97" s="114"/>
      <c r="AH97" s="147"/>
      <c r="AI97" s="114"/>
      <c r="AJ97" s="147"/>
      <c r="AK97" s="114"/>
      <c r="AL97" s="115"/>
      <c r="AM97" s="115"/>
      <c r="AN97" s="114"/>
      <c r="AO97" s="108"/>
      <c r="AP97" s="110"/>
      <c r="AQ97" s="110"/>
      <c r="AR97" s="108"/>
      <c r="AS97" s="110"/>
      <c r="AT97" s="108"/>
      <c r="AU97" s="108"/>
      <c r="AV97" s="108"/>
      <c r="AW97" s="108"/>
      <c r="AX97" s="108"/>
      <c r="AY97" s="108"/>
      <c r="AZ97" s="108"/>
      <c r="BA97" s="108"/>
      <c r="BB97" s="108"/>
      <c r="BC97" s="108"/>
      <c r="BD97" s="110"/>
      <c r="BE97" s="108"/>
      <c r="BF97" s="141"/>
      <c r="BG97" s="110"/>
      <c r="BH97" s="110"/>
      <c r="BI97" s="110"/>
      <c r="BJ97" s="110"/>
      <c r="BK97" s="110"/>
      <c r="BL97" s="110"/>
      <c r="BM97" s="110"/>
      <c r="BN97" s="110"/>
      <c r="BO97" s="110"/>
      <c r="BP97" s="110"/>
      <c r="BQ97" s="108"/>
      <c r="BR97" s="110"/>
      <c r="BS97" s="115"/>
      <c r="BT97" s="114"/>
      <c r="BU97" s="114"/>
    </row>
    <row r="98" spans="1:73" ht="13.5">
      <c r="A98" s="62"/>
      <c r="B98" s="60"/>
      <c r="C98" s="60"/>
      <c r="D98" s="60"/>
      <c r="E98" s="71"/>
      <c r="F98" s="60"/>
      <c r="G98" s="60"/>
      <c r="H98" s="168"/>
      <c r="I98" s="60"/>
      <c r="J98" s="60"/>
      <c r="K98" s="60"/>
      <c r="L98" s="60"/>
      <c r="M98" s="60"/>
      <c r="N98" s="60"/>
      <c r="O98" s="60"/>
      <c r="P98" s="60"/>
      <c r="Q98" s="60"/>
      <c r="R98" s="60"/>
      <c r="S98" s="64"/>
      <c r="T98" s="65"/>
      <c r="U98" s="65"/>
      <c r="V98" s="10"/>
      <c r="W98" s="13"/>
      <c r="X98" s="114"/>
      <c r="Y98" s="114"/>
      <c r="Z98" s="114"/>
      <c r="AB98" s="114"/>
      <c r="AC98" s="114"/>
      <c r="AD98" s="114"/>
      <c r="AE98" s="114"/>
      <c r="AF98" s="114"/>
      <c r="AH98" s="148"/>
      <c r="AI98" s="114"/>
      <c r="AJ98" s="148"/>
      <c r="AK98" s="114"/>
      <c r="AL98" s="115"/>
      <c r="AM98" s="115"/>
      <c r="AN98" s="114"/>
      <c r="AO98" s="110"/>
      <c r="AP98" s="110"/>
      <c r="AQ98" s="110"/>
      <c r="AR98" s="108"/>
      <c r="AS98" s="108"/>
      <c r="AT98" s="108"/>
      <c r="AU98" s="108"/>
      <c r="AV98" s="108"/>
      <c r="AW98" s="108"/>
      <c r="AX98" s="108"/>
      <c r="AY98" s="108"/>
      <c r="AZ98" s="108"/>
      <c r="BA98" s="108"/>
      <c r="BB98" s="108"/>
      <c r="BC98" s="108"/>
      <c r="BD98" s="108"/>
      <c r="BE98" s="108"/>
      <c r="BF98" s="136"/>
      <c r="BG98" s="108"/>
      <c r="BH98" s="108"/>
      <c r="BI98" s="108"/>
      <c r="BJ98" s="108"/>
      <c r="BK98" s="108"/>
      <c r="BL98" s="108"/>
      <c r="BM98" s="108"/>
      <c r="BN98" s="108"/>
      <c r="BO98" s="108"/>
      <c r="BP98" s="108"/>
      <c r="BQ98" s="108"/>
      <c r="BR98" s="108"/>
      <c r="BS98" s="115"/>
      <c r="BT98" s="114"/>
      <c r="BU98" s="114"/>
    </row>
    <row r="99" spans="1:73" ht="13.5">
      <c r="A99" s="62"/>
      <c r="B99" s="60"/>
      <c r="C99" s="60"/>
      <c r="D99" s="60"/>
      <c r="E99" s="71"/>
      <c r="F99" s="60"/>
      <c r="G99" s="60"/>
      <c r="H99" s="168"/>
      <c r="I99" s="60"/>
      <c r="J99" s="60"/>
      <c r="K99" s="60"/>
      <c r="L99" s="60"/>
      <c r="M99" s="60"/>
      <c r="N99" s="60"/>
      <c r="O99" s="60"/>
      <c r="P99" s="60"/>
      <c r="Q99" s="60"/>
      <c r="R99" s="60"/>
      <c r="S99" s="64"/>
      <c r="T99" s="65"/>
      <c r="U99" s="65"/>
      <c r="V99" s="10"/>
      <c r="W99" s="64"/>
      <c r="X99" s="114"/>
      <c r="Y99" s="114"/>
      <c r="Z99" s="114"/>
      <c r="AB99" s="114"/>
      <c r="AC99" s="114"/>
      <c r="AD99" s="114"/>
      <c r="AE99" s="114"/>
      <c r="AF99" s="114"/>
      <c r="AH99" s="148"/>
      <c r="AI99" s="114"/>
      <c r="AJ99" s="148"/>
      <c r="AK99" s="114"/>
      <c r="AL99" s="115"/>
      <c r="AM99" s="115"/>
      <c r="AN99" s="114"/>
      <c r="AO99" s="110"/>
      <c r="AP99" s="110"/>
      <c r="AQ99" s="110"/>
      <c r="AR99" s="108"/>
      <c r="AS99" s="108"/>
      <c r="AT99" s="108"/>
      <c r="AU99" s="108"/>
      <c r="AV99" s="108"/>
      <c r="AW99" s="108"/>
      <c r="AX99" s="108"/>
      <c r="AY99" s="108"/>
      <c r="AZ99" s="108"/>
      <c r="BA99" s="108"/>
      <c r="BB99" s="108"/>
      <c r="BC99" s="108"/>
      <c r="BD99" s="108"/>
      <c r="BE99" s="108"/>
      <c r="BF99" s="136"/>
      <c r="BG99" s="108"/>
      <c r="BH99" s="108"/>
      <c r="BI99" s="108"/>
      <c r="BJ99" s="108"/>
      <c r="BK99" s="108"/>
      <c r="BL99" s="108"/>
      <c r="BM99" s="108"/>
      <c r="BN99" s="108"/>
      <c r="BO99" s="108"/>
      <c r="BP99" s="108"/>
      <c r="BQ99" s="108"/>
      <c r="BR99" s="108"/>
      <c r="BS99" s="115"/>
      <c r="BT99" s="114"/>
      <c r="BU99" s="114"/>
    </row>
    <row r="100" spans="1:73" ht="13.5">
      <c r="A100" s="62"/>
      <c r="B100" s="60"/>
      <c r="C100" s="60"/>
      <c r="D100" s="60"/>
      <c r="E100" s="71"/>
      <c r="F100" s="60"/>
      <c r="G100" s="60"/>
      <c r="H100" s="168"/>
      <c r="I100" s="60"/>
      <c r="J100" s="60"/>
      <c r="K100" s="60"/>
      <c r="L100" s="60"/>
      <c r="M100" s="60"/>
      <c r="N100" s="60"/>
      <c r="O100" s="60"/>
      <c r="P100" s="60"/>
      <c r="Q100" s="60"/>
      <c r="R100" s="60"/>
      <c r="S100" s="64"/>
      <c r="T100" s="65"/>
      <c r="U100" s="65"/>
      <c r="V100" s="10"/>
      <c r="W100" s="64"/>
      <c r="X100" s="114"/>
      <c r="Y100" s="114"/>
      <c r="Z100" s="114"/>
      <c r="AB100" s="114"/>
      <c r="AC100" s="114"/>
      <c r="AD100" s="114"/>
      <c r="AE100" s="114"/>
      <c r="AF100" s="114"/>
      <c r="AH100" s="148"/>
      <c r="AI100" s="114"/>
      <c r="AJ100" s="148"/>
      <c r="AK100" s="114"/>
      <c r="AL100" s="115"/>
      <c r="AM100" s="115"/>
      <c r="AN100" s="114"/>
      <c r="AO100" s="110"/>
      <c r="AP100" s="110"/>
      <c r="AQ100" s="110"/>
      <c r="AR100" s="108"/>
      <c r="AS100" s="108"/>
      <c r="AT100" s="108"/>
      <c r="AU100" s="108"/>
      <c r="AV100" s="108"/>
      <c r="AW100" s="108"/>
      <c r="AX100" s="108"/>
      <c r="AY100" s="108"/>
      <c r="AZ100" s="108"/>
      <c r="BA100" s="108"/>
      <c r="BB100" s="108"/>
      <c r="BC100" s="108"/>
      <c r="BD100" s="108"/>
      <c r="BE100" s="108"/>
      <c r="BF100" s="136"/>
      <c r="BG100" s="108"/>
      <c r="BH100" s="108"/>
      <c r="BI100" s="108"/>
      <c r="BJ100" s="108"/>
      <c r="BK100" s="108"/>
      <c r="BL100" s="108"/>
      <c r="BM100" s="108"/>
      <c r="BN100" s="108"/>
      <c r="BO100" s="108"/>
      <c r="BP100" s="108"/>
      <c r="BQ100" s="108"/>
      <c r="BR100" s="108"/>
      <c r="BS100" s="115"/>
      <c r="BT100" s="114"/>
      <c r="BU100" s="114"/>
    </row>
    <row r="101" spans="1:73" ht="13.5">
      <c r="A101" s="62"/>
      <c r="B101" s="60"/>
      <c r="C101" s="60"/>
      <c r="D101" s="60"/>
      <c r="E101" s="71"/>
      <c r="F101" s="60"/>
      <c r="G101" s="60"/>
      <c r="H101" s="168"/>
      <c r="I101" s="60"/>
      <c r="J101" s="60"/>
      <c r="K101" s="60"/>
      <c r="L101" s="60"/>
      <c r="M101" s="60"/>
      <c r="N101" s="60"/>
      <c r="O101" s="60"/>
      <c r="P101" s="60"/>
      <c r="Q101" s="60"/>
      <c r="R101" s="60"/>
      <c r="S101" s="64"/>
      <c r="T101" s="65"/>
      <c r="U101" s="65"/>
      <c r="V101" s="10"/>
      <c r="W101" s="60"/>
      <c r="X101" s="114"/>
      <c r="Y101" s="114"/>
      <c r="Z101" s="114"/>
      <c r="AB101" s="114"/>
      <c r="AC101" s="114"/>
      <c r="AD101" s="114"/>
      <c r="AE101" s="114"/>
      <c r="AF101" s="114"/>
      <c r="AH101" s="148"/>
      <c r="AI101" s="114"/>
      <c r="AJ101" s="148"/>
      <c r="AK101" s="114"/>
      <c r="AL101" s="115"/>
      <c r="AM101" s="115"/>
      <c r="AN101" s="114"/>
      <c r="AO101" s="110"/>
      <c r="AP101" s="110"/>
      <c r="AQ101" s="110"/>
      <c r="AR101" s="108"/>
      <c r="AS101" s="108"/>
      <c r="AT101" s="108"/>
      <c r="AU101" s="108"/>
      <c r="AV101" s="108"/>
      <c r="AW101" s="108"/>
      <c r="AX101" s="108"/>
      <c r="AY101" s="108"/>
      <c r="AZ101" s="108"/>
      <c r="BA101" s="108"/>
      <c r="BB101" s="108"/>
      <c r="BC101" s="108"/>
      <c r="BD101" s="108"/>
      <c r="BE101" s="108"/>
      <c r="BF101" s="136"/>
      <c r="BG101" s="108"/>
      <c r="BH101" s="108"/>
      <c r="BI101" s="108"/>
      <c r="BJ101" s="108"/>
      <c r="BK101" s="108"/>
      <c r="BL101" s="108"/>
      <c r="BM101" s="108"/>
      <c r="BN101" s="108"/>
      <c r="BO101" s="108"/>
      <c r="BP101" s="108"/>
      <c r="BQ101" s="108"/>
      <c r="BR101" s="108"/>
      <c r="BS101" s="115"/>
      <c r="BT101" s="114"/>
      <c r="BU101" s="114"/>
    </row>
    <row r="102" spans="1:73" ht="13.5">
      <c r="A102" s="62"/>
      <c r="B102" s="60"/>
      <c r="C102" s="60"/>
      <c r="D102" s="60"/>
      <c r="E102" s="71"/>
      <c r="F102" s="60"/>
      <c r="G102" s="60"/>
      <c r="H102" s="168"/>
      <c r="I102" s="60"/>
      <c r="J102" s="60"/>
      <c r="K102" s="60"/>
      <c r="L102" s="60"/>
      <c r="M102" s="60"/>
      <c r="N102" s="60"/>
      <c r="O102" s="60"/>
      <c r="P102" s="60"/>
      <c r="Q102" s="60"/>
      <c r="R102" s="60"/>
      <c r="S102" s="64"/>
      <c r="T102" s="65"/>
      <c r="U102" s="65"/>
      <c r="V102" s="10"/>
      <c r="W102" s="60"/>
      <c r="X102" s="114"/>
      <c r="Y102" s="114"/>
      <c r="Z102" s="114"/>
      <c r="AB102" s="114"/>
      <c r="AC102" s="114"/>
      <c r="AD102" s="114"/>
      <c r="AE102" s="114"/>
      <c r="AF102" s="114"/>
      <c r="AH102" s="148"/>
      <c r="AI102" s="114"/>
      <c r="AJ102" s="148"/>
      <c r="AK102" s="114"/>
      <c r="AL102" s="115"/>
      <c r="AM102" s="115"/>
      <c r="AN102" s="114"/>
      <c r="AO102" s="110"/>
      <c r="AP102" s="110"/>
      <c r="AQ102" s="110"/>
      <c r="AR102" s="108"/>
      <c r="AS102" s="108"/>
      <c r="AT102" s="108"/>
      <c r="AU102" s="108"/>
      <c r="AV102" s="108"/>
      <c r="AW102" s="108"/>
      <c r="AX102" s="108"/>
      <c r="AY102" s="108"/>
      <c r="AZ102" s="108"/>
      <c r="BA102" s="108"/>
      <c r="BB102" s="108"/>
      <c r="BC102" s="108"/>
      <c r="BD102" s="108"/>
      <c r="BE102" s="108"/>
      <c r="BF102" s="136"/>
      <c r="BG102" s="108"/>
      <c r="BH102" s="108"/>
      <c r="BI102" s="108"/>
      <c r="BJ102" s="108"/>
      <c r="BK102" s="108"/>
      <c r="BL102" s="108"/>
      <c r="BM102" s="108"/>
      <c r="BN102" s="108"/>
      <c r="BO102" s="108"/>
      <c r="BP102" s="108"/>
      <c r="BQ102" s="108"/>
      <c r="BR102" s="108"/>
      <c r="BS102" s="115"/>
      <c r="BT102" s="114"/>
      <c r="BU102" s="114"/>
    </row>
    <row r="103" spans="1:73" ht="13.5">
      <c r="A103" s="62"/>
      <c r="B103" s="60"/>
      <c r="C103" s="60"/>
      <c r="D103" s="60"/>
      <c r="E103" s="71"/>
      <c r="F103" s="60"/>
      <c r="G103" s="60"/>
      <c r="H103" s="168"/>
      <c r="I103" s="60"/>
      <c r="J103" s="60"/>
      <c r="K103" s="27"/>
      <c r="L103" s="5"/>
      <c r="M103" s="5"/>
      <c r="N103" s="5"/>
      <c r="O103" s="5"/>
      <c r="P103" s="5"/>
      <c r="Q103" s="5"/>
      <c r="R103" s="5"/>
      <c r="S103" s="2"/>
      <c r="T103" s="65"/>
      <c r="U103" s="65"/>
      <c r="V103" s="5"/>
      <c r="W103" s="60"/>
      <c r="X103" s="114"/>
      <c r="Y103" s="114"/>
      <c r="Z103" s="114"/>
      <c r="AB103" s="114"/>
      <c r="AC103" s="114"/>
      <c r="AD103" s="114"/>
      <c r="AE103" s="114"/>
      <c r="AF103" s="114"/>
      <c r="AH103" s="148"/>
      <c r="AI103" s="114"/>
      <c r="AJ103" s="148"/>
      <c r="AK103" s="114"/>
      <c r="AL103" s="115"/>
      <c r="AM103" s="115"/>
      <c r="AN103" s="114"/>
      <c r="AO103" s="110"/>
      <c r="AP103" s="110"/>
      <c r="AQ103" s="110"/>
      <c r="AR103" s="108"/>
      <c r="AS103" s="108"/>
      <c r="AT103" s="108"/>
      <c r="AU103" s="108"/>
      <c r="AV103" s="108"/>
      <c r="AW103" s="108"/>
      <c r="AX103" s="108"/>
      <c r="AY103" s="108"/>
      <c r="AZ103" s="108"/>
      <c r="BA103" s="108"/>
      <c r="BB103" s="108"/>
      <c r="BC103" s="108"/>
      <c r="BD103" s="108"/>
      <c r="BE103" s="108"/>
      <c r="BF103" s="136"/>
      <c r="BG103" s="108"/>
      <c r="BH103" s="108"/>
      <c r="BI103" s="108"/>
      <c r="BJ103" s="108"/>
      <c r="BK103" s="108"/>
      <c r="BL103" s="108"/>
      <c r="BM103" s="108"/>
      <c r="BN103" s="108"/>
      <c r="BO103" s="108"/>
      <c r="BP103" s="108"/>
      <c r="BQ103" s="108"/>
      <c r="BR103" s="108"/>
      <c r="BS103" s="115"/>
      <c r="BT103" s="114"/>
      <c r="BU103" s="114"/>
    </row>
    <row r="104" spans="1:73" ht="13.5">
      <c r="A104" s="62"/>
      <c r="B104" s="5"/>
      <c r="C104" s="5"/>
      <c r="D104" s="5"/>
      <c r="E104" s="9"/>
      <c r="F104" s="5"/>
      <c r="G104" s="5"/>
      <c r="H104" s="167"/>
      <c r="I104" s="5"/>
      <c r="J104" s="5"/>
      <c r="K104" s="27"/>
      <c r="L104" s="5"/>
      <c r="M104" s="5"/>
      <c r="N104" s="5"/>
      <c r="O104" s="5"/>
      <c r="P104" s="5"/>
      <c r="Q104" s="5"/>
      <c r="R104" s="5"/>
      <c r="S104" s="2"/>
      <c r="T104" s="65"/>
      <c r="U104" s="65"/>
      <c r="V104" s="5"/>
      <c r="W104" s="60"/>
      <c r="X104" s="114"/>
      <c r="Y104" s="114"/>
      <c r="Z104" s="114"/>
      <c r="AB104" s="114"/>
      <c r="AC104" s="114"/>
      <c r="AD104" s="114"/>
      <c r="AE104" s="114"/>
      <c r="AF104" s="114"/>
      <c r="AH104" s="148"/>
      <c r="AI104" s="114"/>
      <c r="AJ104" s="148"/>
      <c r="AK104" s="114"/>
      <c r="AL104" s="115"/>
      <c r="AM104" s="115"/>
      <c r="AN104" s="114"/>
      <c r="AO104" s="110"/>
      <c r="AP104" s="110"/>
      <c r="AQ104" s="110"/>
      <c r="AR104" s="108"/>
      <c r="AS104" s="108"/>
      <c r="AT104" s="108"/>
      <c r="AU104" s="108"/>
      <c r="AV104" s="108"/>
      <c r="AW104" s="108"/>
      <c r="AX104" s="108"/>
      <c r="AY104" s="108"/>
      <c r="AZ104" s="108"/>
      <c r="BA104" s="108"/>
      <c r="BB104" s="108"/>
      <c r="BC104" s="108"/>
      <c r="BD104" s="108"/>
      <c r="BE104" s="108"/>
      <c r="BF104" s="136"/>
      <c r="BG104" s="108"/>
      <c r="BH104" s="108"/>
      <c r="BI104" s="108"/>
      <c r="BJ104" s="108"/>
      <c r="BK104" s="108"/>
      <c r="BL104" s="108"/>
      <c r="BM104" s="108"/>
      <c r="BN104" s="108"/>
      <c r="BO104" s="108"/>
      <c r="BP104" s="108"/>
      <c r="BQ104" s="108"/>
      <c r="BR104" s="108"/>
      <c r="BS104" s="115"/>
      <c r="BT104" s="114"/>
      <c r="BU104" s="114"/>
    </row>
    <row r="105" spans="1:73" ht="13.5">
      <c r="A105" s="51"/>
      <c r="B105" s="5"/>
      <c r="C105" s="5"/>
      <c r="D105" s="5"/>
      <c r="E105" s="9"/>
      <c r="F105" s="5"/>
      <c r="G105" s="5"/>
      <c r="H105" s="167"/>
      <c r="I105" s="5"/>
      <c r="J105" s="5"/>
      <c r="K105" s="27"/>
      <c r="L105" s="5"/>
      <c r="M105" s="5"/>
      <c r="N105" s="5"/>
      <c r="O105" s="5"/>
      <c r="P105" s="5"/>
      <c r="Q105" s="5"/>
      <c r="R105" s="5"/>
      <c r="S105" s="2"/>
      <c r="T105" s="10"/>
      <c r="U105" s="10"/>
      <c r="V105" s="6"/>
      <c r="W105" s="5"/>
      <c r="X105" s="32"/>
      <c r="Y105" s="32"/>
      <c r="Z105" s="32"/>
      <c r="AB105" s="149"/>
      <c r="AC105" s="149"/>
      <c r="AD105" s="149"/>
      <c r="AE105" s="149"/>
      <c r="AF105" s="149"/>
      <c r="AH105" s="149"/>
      <c r="AI105" s="149"/>
      <c r="AJ105" s="149"/>
      <c r="AK105" s="32"/>
      <c r="AL105" s="135"/>
      <c r="AM105" s="135"/>
      <c r="AN105" s="32"/>
      <c r="AO105" s="110"/>
      <c r="AP105" s="110"/>
      <c r="AQ105" s="110"/>
      <c r="AR105" s="108"/>
      <c r="AS105" s="108"/>
      <c r="AT105" s="108"/>
      <c r="AU105" s="108"/>
      <c r="AV105" s="108"/>
      <c r="AW105" s="108"/>
      <c r="AX105" s="108"/>
      <c r="AY105" s="108"/>
      <c r="AZ105" s="108"/>
      <c r="BA105" s="108"/>
      <c r="BB105" s="108"/>
      <c r="BC105" s="108"/>
      <c r="BD105" s="108"/>
      <c r="BE105" s="108"/>
      <c r="BF105" s="136"/>
      <c r="BG105" s="108"/>
      <c r="BH105" s="108"/>
      <c r="BI105" s="108"/>
      <c r="BJ105" s="108"/>
      <c r="BK105" s="108"/>
      <c r="BL105" s="108"/>
      <c r="BM105" s="108"/>
      <c r="BN105" s="108"/>
      <c r="BO105" s="108"/>
      <c r="BP105" s="108"/>
      <c r="BQ105" s="108"/>
      <c r="BR105" s="108"/>
      <c r="BS105" s="108"/>
      <c r="BT105" s="32"/>
      <c r="BU105" s="32"/>
    </row>
    <row r="106" spans="1:73" ht="13.5">
      <c r="A106" s="51"/>
      <c r="B106" s="5"/>
      <c r="C106" s="5"/>
      <c r="D106" s="5"/>
      <c r="E106" s="9"/>
      <c r="F106" s="5"/>
      <c r="G106" s="5"/>
      <c r="H106" s="167"/>
      <c r="I106" s="5"/>
      <c r="J106" s="5"/>
      <c r="K106" s="27"/>
      <c r="L106" s="5"/>
      <c r="M106" s="5"/>
      <c r="N106" s="5"/>
      <c r="O106" s="5"/>
      <c r="P106" s="5"/>
      <c r="Q106" s="5"/>
      <c r="R106" s="5"/>
      <c r="S106" s="2"/>
      <c r="T106" s="10"/>
      <c r="U106" s="10"/>
      <c r="V106" s="6"/>
      <c r="W106" s="5"/>
      <c r="X106" s="32"/>
      <c r="Y106" s="32"/>
      <c r="Z106" s="32"/>
      <c r="AB106" s="149"/>
      <c r="AC106" s="149"/>
      <c r="AD106" s="149"/>
      <c r="AE106" s="149"/>
      <c r="AF106" s="149"/>
      <c r="AH106" s="149"/>
      <c r="AI106" s="149"/>
      <c r="AJ106" s="149"/>
      <c r="AK106" s="32"/>
      <c r="AL106" s="135"/>
      <c r="AM106" s="135"/>
      <c r="AN106" s="32"/>
      <c r="AO106" s="110"/>
      <c r="AP106" s="110"/>
      <c r="AQ106" s="110"/>
      <c r="AR106" s="108"/>
      <c r="AS106" s="108"/>
      <c r="AT106" s="108"/>
      <c r="AU106" s="108"/>
      <c r="AV106" s="108"/>
      <c r="AW106" s="108"/>
      <c r="AX106" s="108"/>
      <c r="AY106" s="108"/>
      <c r="AZ106" s="108"/>
      <c r="BA106" s="108"/>
      <c r="BB106" s="108"/>
      <c r="BC106" s="108"/>
      <c r="BD106" s="108"/>
      <c r="BE106" s="108"/>
      <c r="BF106" s="136"/>
      <c r="BG106" s="108"/>
      <c r="BH106" s="108"/>
      <c r="BI106" s="108"/>
      <c r="BJ106" s="108"/>
      <c r="BK106" s="108"/>
      <c r="BL106" s="108"/>
      <c r="BM106" s="108"/>
      <c r="BN106" s="108"/>
      <c r="BO106" s="108"/>
      <c r="BP106" s="108"/>
      <c r="BQ106" s="108"/>
      <c r="BR106" s="108"/>
      <c r="BS106" s="108"/>
      <c r="BT106" s="32"/>
      <c r="BU106" s="32"/>
    </row>
    <row r="107" spans="1:73" ht="13.5">
      <c r="A107" s="51"/>
      <c r="B107" s="5"/>
      <c r="C107" s="5"/>
      <c r="D107" s="5"/>
      <c r="E107" s="9"/>
      <c r="F107" s="5"/>
      <c r="G107" s="5"/>
      <c r="H107" s="167"/>
      <c r="I107" s="5"/>
      <c r="J107" s="5"/>
      <c r="K107" s="27"/>
      <c r="L107" s="5"/>
      <c r="M107" s="5"/>
      <c r="N107" s="5"/>
      <c r="O107" s="5"/>
      <c r="P107" s="5"/>
      <c r="Q107" s="5"/>
      <c r="R107" s="5"/>
      <c r="S107" s="2"/>
      <c r="T107" s="10"/>
      <c r="U107" s="10"/>
      <c r="V107" s="6"/>
      <c r="W107" s="6"/>
      <c r="X107" s="32"/>
      <c r="Y107" s="32"/>
      <c r="Z107" s="32"/>
      <c r="AB107" s="149"/>
      <c r="AC107" s="149"/>
      <c r="AD107" s="149"/>
      <c r="AE107" s="149"/>
      <c r="AF107" s="149"/>
      <c r="AG107" s="138">
        <f>IF(D88&gt;I88,E88,IF(I88&gt;D88,H88,""))</f>
      </c>
      <c r="AH107" s="149"/>
      <c r="AI107" s="149"/>
      <c r="AJ107" s="149"/>
      <c r="AK107" s="32"/>
      <c r="AL107" s="150"/>
      <c r="AM107" s="151"/>
      <c r="AN107" s="32"/>
      <c r="AO107" s="110"/>
      <c r="AP107" s="110"/>
      <c r="AQ107" s="110"/>
      <c r="AR107" s="108"/>
      <c r="AS107" s="108"/>
      <c r="AT107" s="108"/>
      <c r="AU107" s="108"/>
      <c r="AV107" s="108"/>
      <c r="AW107" s="108"/>
      <c r="AX107" s="108"/>
      <c r="AY107" s="108"/>
      <c r="AZ107" s="108"/>
      <c r="BA107" s="108"/>
      <c r="BB107" s="108"/>
      <c r="BC107" s="108"/>
      <c r="BD107" s="108"/>
      <c r="BE107" s="108"/>
      <c r="BF107" s="136"/>
      <c r="BG107" s="108"/>
      <c r="BH107" s="108"/>
      <c r="BI107" s="108"/>
      <c r="BJ107" s="108"/>
      <c r="BK107" s="108"/>
      <c r="BL107" s="108"/>
      <c r="BM107" s="108"/>
      <c r="BN107" s="108"/>
      <c r="BO107" s="108"/>
      <c r="BP107" s="108"/>
      <c r="BQ107" s="108"/>
      <c r="BR107" s="108"/>
      <c r="BS107" s="108"/>
      <c r="BT107" s="32"/>
      <c r="BU107" s="32"/>
    </row>
    <row r="108" spans="1:73" ht="13.5">
      <c r="A108" s="51"/>
      <c r="B108" s="5"/>
      <c r="C108" s="5"/>
      <c r="D108" s="5"/>
      <c r="E108" s="9"/>
      <c r="F108" s="5"/>
      <c r="G108" s="5"/>
      <c r="H108" s="167"/>
      <c r="I108" s="5"/>
      <c r="J108" s="5"/>
      <c r="K108" s="66"/>
      <c r="L108" s="60"/>
      <c r="M108" s="60"/>
      <c r="N108" s="60"/>
      <c r="O108" s="60"/>
      <c r="P108" s="60"/>
      <c r="Q108" s="60"/>
      <c r="R108" s="60"/>
      <c r="S108" s="64"/>
      <c r="T108" s="10"/>
      <c r="U108" s="10"/>
      <c r="V108" s="63"/>
      <c r="W108" s="6"/>
      <c r="X108" s="32"/>
      <c r="Y108" s="32"/>
      <c r="Z108" s="32"/>
      <c r="AB108" s="149"/>
      <c r="AC108" s="149"/>
      <c r="AD108" s="149"/>
      <c r="AE108" s="149"/>
      <c r="AF108" s="149"/>
      <c r="AG108" s="138"/>
      <c r="AH108" s="149"/>
      <c r="AI108" s="149"/>
      <c r="AJ108" s="149"/>
      <c r="AK108" s="32"/>
      <c r="AL108" s="150"/>
      <c r="AM108" s="151"/>
      <c r="AN108" s="32"/>
      <c r="AO108" s="110"/>
      <c r="AP108" s="110"/>
      <c r="AQ108" s="110"/>
      <c r="AR108" s="108"/>
      <c r="AS108" s="108"/>
      <c r="AT108" s="108"/>
      <c r="AU108" s="108"/>
      <c r="AV108" s="108"/>
      <c r="AW108" s="108"/>
      <c r="AX108" s="108"/>
      <c r="AY108" s="108"/>
      <c r="AZ108" s="108"/>
      <c r="BA108" s="108"/>
      <c r="BB108" s="108"/>
      <c r="BC108" s="108"/>
      <c r="BD108" s="108"/>
      <c r="BE108" s="108"/>
      <c r="BF108" s="136"/>
      <c r="BG108" s="108"/>
      <c r="BH108" s="108"/>
      <c r="BI108" s="108"/>
      <c r="BJ108" s="108"/>
      <c r="BK108" s="108"/>
      <c r="BL108" s="108"/>
      <c r="BM108" s="108"/>
      <c r="BN108" s="108"/>
      <c r="BO108" s="108"/>
      <c r="BP108" s="108"/>
      <c r="BQ108" s="108"/>
      <c r="BR108" s="108"/>
      <c r="BS108" s="108"/>
      <c r="BT108" s="32"/>
      <c r="BU108" s="32"/>
    </row>
    <row r="109" spans="1:73" ht="13.5">
      <c r="A109" s="51"/>
      <c r="B109" s="5"/>
      <c r="C109" s="5"/>
      <c r="D109" s="5"/>
      <c r="E109" s="9"/>
      <c r="F109" s="5"/>
      <c r="G109" s="5"/>
      <c r="H109" s="167"/>
      <c r="I109" s="5"/>
      <c r="J109" s="5"/>
      <c r="K109" s="13"/>
      <c r="L109" s="60"/>
      <c r="M109" s="60"/>
      <c r="N109" s="60"/>
      <c r="O109" s="60"/>
      <c r="P109" s="60"/>
      <c r="Q109" s="60"/>
      <c r="R109" s="60"/>
      <c r="S109" s="64"/>
      <c r="T109" s="10"/>
      <c r="U109" s="10"/>
      <c r="V109" s="63"/>
      <c r="W109" s="6"/>
      <c r="X109" s="32"/>
      <c r="Y109" s="32"/>
      <c r="Z109" s="32"/>
      <c r="AB109" s="149"/>
      <c r="AC109" s="149"/>
      <c r="AD109" s="149"/>
      <c r="AE109" s="149"/>
      <c r="AF109" s="149"/>
      <c r="AH109" s="149"/>
      <c r="AI109" s="149"/>
      <c r="AJ109" s="149"/>
      <c r="AK109" s="32"/>
      <c r="AL109" s="150"/>
      <c r="AM109" s="151"/>
      <c r="AN109" s="32"/>
      <c r="AO109" s="110"/>
      <c r="AP109" s="110"/>
      <c r="AQ109" s="110"/>
      <c r="AR109" s="108"/>
      <c r="AS109" s="108"/>
      <c r="AT109" s="108"/>
      <c r="AU109" s="108"/>
      <c r="AV109" s="108"/>
      <c r="AW109" s="108"/>
      <c r="AX109" s="108"/>
      <c r="AY109" s="108"/>
      <c r="AZ109" s="108"/>
      <c r="BA109" s="108"/>
      <c r="BB109" s="108"/>
      <c r="BC109" s="108"/>
      <c r="BD109" s="108"/>
      <c r="BE109" s="108"/>
      <c r="BF109" s="136"/>
      <c r="BG109" s="108"/>
      <c r="BH109" s="108"/>
      <c r="BI109" s="108"/>
      <c r="BJ109" s="108"/>
      <c r="BK109" s="108"/>
      <c r="BL109" s="108"/>
      <c r="BM109" s="108"/>
      <c r="BN109" s="108"/>
      <c r="BO109" s="108"/>
      <c r="BP109" s="108"/>
      <c r="BQ109" s="108"/>
      <c r="BR109" s="108"/>
      <c r="BS109" s="108"/>
      <c r="BT109" s="32"/>
      <c r="BU109" s="32"/>
    </row>
    <row r="110" spans="1:73" ht="13.5">
      <c r="A110" s="62"/>
      <c r="B110" s="60"/>
      <c r="C110" s="60"/>
      <c r="D110" s="60"/>
      <c r="E110" s="71"/>
      <c r="F110" s="60"/>
      <c r="G110" s="60"/>
      <c r="H110" s="168"/>
      <c r="I110" s="60"/>
      <c r="J110" s="60"/>
      <c r="K110" s="13"/>
      <c r="L110" s="60"/>
      <c r="M110" s="60"/>
      <c r="N110" s="60"/>
      <c r="O110" s="60"/>
      <c r="P110" s="60"/>
      <c r="Q110" s="60"/>
      <c r="R110" s="60"/>
      <c r="S110" s="64"/>
      <c r="T110" s="65"/>
      <c r="U110" s="65"/>
      <c r="V110" s="63"/>
      <c r="W110" s="63"/>
      <c r="X110" s="114"/>
      <c r="Y110" s="114"/>
      <c r="Z110" s="114"/>
      <c r="AB110" s="148"/>
      <c r="AC110" s="148"/>
      <c r="AD110" s="148"/>
      <c r="AE110" s="148"/>
      <c r="AF110" s="148"/>
      <c r="AH110" s="148"/>
      <c r="AI110" s="148"/>
      <c r="AJ110" s="148"/>
      <c r="AK110" s="114"/>
      <c r="AL110" s="152"/>
      <c r="AM110" s="153"/>
      <c r="AN110" s="114"/>
      <c r="AO110" s="110"/>
      <c r="AP110" s="110"/>
      <c r="AQ110" s="110"/>
      <c r="AR110" s="108"/>
      <c r="AS110" s="108"/>
      <c r="AT110" s="108"/>
      <c r="AU110" s="108"/>
      <c r="AV110" s="108"/>
      <c r="AW110" s="108"/>
      <c r="AX110" s="108"/>
      <c r="AY110" s="108"/>
      <c r="AZ110" s="108"/>
      <c r="BA110" s="108"/>
      <c r="BB110" s="108"/>
      <c r="BC110" s="108"/>
      <c r="BD110" s="108"/>
      <c r="BE110" s="108"/>
      <c r="BF110" s="136"/>
      <c r="BG110" s="108"/>
      <c r="BH110" s="108"/>
      <c r="BI110" s="108"/>
      <c r="BJ110" s="108"/>
      <c r="BK110" s="108"/>
      <c r="BL110" s="108"/>
      <c r="BM110" s="108"/>
      <c r="BN110" s="108"/>
      <c r="BO110" s="108"/>
      <c r="BP110" s="108"/>
      <c r="BQ110" s="108"/>
      <c r="BR110" s="108"/>
      <c r="BS110" s="115"/>
      <c r="BT110" s="114"/>
      <c r="BU110" s="114"/>
    </row>
    <row r="111" spans="1:73" ht="13.5">
      <c r="A111" s="62"/>
      <c r="B111" s="60"/>
      <c r="C111" s="60"/>
      <c r="D111" s="60"/>
      <c r="E111" s="71"/>
      <c r="F111" s="60"/>
      <c r="G111" s="60"/>
      <c r="H111" s="168"/>
      <c r="I111" s="60"/>
      <c r="J111" s="60"/>
      <c r="K111" s="66"/>
      <c r="L111" s="60"/>
      <c r="M111" s="60"/>
      <c r="N111" s="60"/>
      <c r="O111" s="60"/>
      <c r="P111" s="60"/>
      <c r="Q111" s="60"/>
      <c r="R111" s="60"/>
      <c r="S111" s="64"/>
      <c r="T111" s="65"/>
      <c r="U111" s="65"/>
      <c r="V111" s="63"/>
      <c r="W111" s="63"/>
      <c r="X111" s="114"/>
      <c r="Y111" s="114"/>
      <c r="Z111" s="114"/>
      <c r="AB111" s="148"/>
      <c r="AC111" s="148"/>
      <c r="AD111" s="148"/>
      <c r="AE111" s="148"/>
      <c r="AF111" s="148"/>
      <c r="AH111" s="148"/>
      <c r="AI111" s="148"/>
      <c r="AJ111" s="148"/>
      <c r="AK111" s="114"/>
      <c r="AL111" s="152"/>
      <c r="AM111" s="153"/>
      <c r="AN111" s="114"/>
      <c r="AO111" s="110"/>
      <c r="AP111" s="110"/>
      <c r="AQ111" s="110"/>
      <c r="AR111" s="108"/>
      <c r="AS111" s="108"/>
      <c r="AT111" s="108"/>
      <c r="AU111" s="108"/>
      <c r="AV111" s="108"/>
      <c r="AW111" s="108"/>
      <c r="AX111" s="108"/>
      <c r="AY111" s="108"/>
      <c r="AZ111" s="108"/>
      <c r="BA111" s="108"/>
      <c r="BB111" s="108"/>
      <c r="BC111" s="108"/>
      <c r="BD111" s="108"/>
      <c r="BE111" s="108"/>
      <c r="BF111" s="136"/>
      <c r="BG111" s="108"/>
      <c r="BH111" s="108"/>
      <c r="BI111" s="108"/>
      <c r="BJ111" s="108"/>
      <c r="BK111" s="108"/>
      <c r="BL111" s="108"/>
      <c r="BM111" s="108"/>
      <c r="BN111" s="108"/>
      <c r="BO111" s="108"/>
      <c r="BP111" s="108"/>
      <c r="BQ111" s="108"/>
      <c r="BR111" s="108"/>
      <c r="BS111" s="115"/>
      <c r="BT111" s="114"/>
      <c r="BU111" s="114"/>
    </row>
    <row r="112" spans="1:73" ht="13.5">
      <c r="A112" s="60"/>
      <c r="B112" s="60"/>
      <c r="C112" s="60"/>
      <c r="D112" s="60"/>
      <c r="E112" s="71"/>
      <c r="F112" s="60"/>
      <c r="G112" s="60"/>
      <c r="H112" s="168"/>
      <c r="I112" s="60"/>
      <c r="J112" s="60"/>
      <c r="K112" s="11"/>
      <c r="L112" s="5"/>
      <c r="M112" s="5"/>
      <c r="N112" s="5"/>
      <c r="O112" s="5"/>
      <c r="P112" s="5"/>
      <c r="Q112" s="5"/>
      <c r="R112" s="5"/>
      <c r="S112" s="2"/>
      <c r="T112" s="65"/>
      <c r="U112" s="65"/>
      <c r="V112" s="69"/>
      <c r="W112" s="63"/>
      <c r="X112" s="114"/>
      <c r="Y112" s="114"/>
      <c r="Z112" s="114"/>
      <c r="AB112" s="148"/>
      <c r="AC112" s="148"/>
      <c r="AD112" s="148"/>
      <c r="AE112" s="148"/>
      <c r="AF112" s="148"/>
      <c r="AG112" s="138"/>
      <c r="AH112" s="148"/>
      <c r="AI112" s="148"/>
      <c r="AJ112" s="148"/>
      <c r="AK112" s="114"/>
      <c r="AL112" s="152"/>
      <c r="AM112" s="153"/>
      <c r="AN112" s="114"/>
      <c r="AO112" s="110"/>
      <c r="AP112" s="110"/>
      <c r="AQ112" s="110"/>
      <c r="AR112" s="108"/>
      <c r="AS112" s="108"/>
      <c r="AT112" s="108"/>
      <c r="AU112" s="108"/>
      <c r="AV112" s="108"/>
      <c r="AW112" s="108"/>
      <c r="AX112" s="108"/>
      <c r="AY112" s="108"/>
      <c r="AZ112" s="108"/>
      <c r="BA112" s="108"/>
      <c r="BB112" s="108"/>
      <c r="BC112" s="108"/>
      <c r="BD112" s="108"/>
      <c r="BE112" s="108"/>
      <c r="BF112" s="136"/>
      <c r="BG112" s="108"/>
      <c r="BH112" s="108"/>
      <c r="BI112" s="108"/>
      <c r="BJ112" s="108"/>
      <c r="BK112" s="108"/>
      <c r="BL112" s="108"/>
      <c r="BM112" s="108"/>
      <c r="BN112" s="108"/>
      <c r="BO112" s="108"/>
      <c r="BP112" s="108"/>
      <c r="BQ112" s="108"/>
      <c r="BR112" s="108"/>
      <c r="BS112" s="115"/>
      <c r="BT112" s="114"/>
      <c r="BU112" s="114"/>
    </row>
    <row r="113" spans="1:73" ht="13.5">
      <c r="A113" s="60"/>
      <c r="B113" s="67"/>
      <c r="C113" s="68"/>
      <c r="D113" s="11"/>
      <c r="E113" s="3"/>
      <c r="F113" s="4"/>
      <c r="G113" s="4"/>
      <c r="H113" s="167"/>
      <c r="I113" s="4"/>
      <c r="J113" s="4"/>
      <c r="K113" s="11"/>
      <c r="L113" s="5"/>
      <c r="M113" s="5"/>
      <c r="N113" s="5"/>
      <c r="O113" s="5"/>
      <c r="P113" s="5"/>
      <c r="Q113" s="5"/>
      <c r="R113" s="5"/>
      <c r="S113" s="4"/>
      <c r="T113" s="65"/>
      <c r="U113" s="65"/>
      <c r="V113" s="11"/>
      <c r="W113" s="63"/>
      <c r="X113" s="114"/>
      <c r="Y113" s="114"/>
      <c r="Z113" s="114"/>
      <c r="AB113" s="148"/>
      <c r="AC113" s="148"/>
      <c r="AD113" s="148"/>
      <c r="AE113" s="148"/>
      <c r="AF113" s="148"/>
      <c r="AG113" s="138"/>
      <c r="AH113" s="148"/>
      <c r="AI113" s="148"/>
      <c r="AJ113" s="148"/>
      <c r="AK113" s="114"/>
      <c r="AL113" s="152"/>
      <c r="AM113" s="153"/>
      <c r="AN113" s="114"/>
      <c r="AO113" s="110"/>
      <c r="AP113" s="110"/>
      <c r="AQ113" s="110"/>
      <c r="AR113" s="108"/>
      <c r="AS113" s="108"/>
      <c r="AT113" s="108"/>
      <c r="AU113" s="108"/>
      <c r="AV113" s="108"/>
      <c r="AW113" s="108"/>
      <c r="AX113" s="108"/>
      <c r="AY113" s="108"/>
      <c r="AZ113" s="108"/>
      <c r="BA113" s="108"/>
      <c r="BB113" s="108"/>
      <c r="BC113" s="108"/>
      <c r="BD113" s="108"/>
      <c r="BE113" s="108"/>
      <c r="BF113" s="136"/>
      <c r="BG113" s="108"/>
      <c r="BH113" s="108"/>
      <c r="BI113" s="108"/>
      <c r="BJ113" s="108"/>
      <c r="BK113" s="108"/>
      <c r="BL113" s="108"/>
      <c r="BM113" s="108"/>
      <c r="BN113" s="108"/>
      <c r="BO113" s="108"/>
      <c r="BP113" s="108"/>
      <c r="BQ113" s="108"/>
      <c r="BR113" s="108"/>
      <c r="BS113" s="115"/>
      <c r="BT113" s="114"/>
      <c r="BU113" s="114"/>
    </row>
    <row r="114" spans="1:73" ht="13.5">
      <c r="A114" s="45"/>
      <c r="B114" s="67"/>
      <c r="C114" s="68"/>
      <c r="D114" s="11"/>
      <c r="E114" s="3"/>
      <c r="F114" s="4"/>
      <c r="G114" s="4"/>
      <c r="H114" s="167"/>
      <c r="I114" s="4"/>
      <c r="J114" s="4"/>
      <c r="K114" s="5"/>
      <c r="L114" s="5"/>
      <c r="M114" s="5"/>
      <c r="N114" s="5"/>
      <c r="O114" s="5"/>
      <c r="P114" s="5"/>
      <c r="Q114" s="5"/>
      <c r="R114" s="5"/>
      <c r="S114" s="4"/>
      <c r="T114" s="10"/>
      <c r="U114" s="10"/>
      <c r="V114" s="70"/>
      <c r="W114" s="69"/>
      <c r="X114" s="32"/>
      <c r="Y114" s="32"/>
      <c r="Z114" s="32"/>
      <c r="AA114" s="149"/>
      <c r="AB114" s="149"/>
      <c r="AC114" s="149"/>
      <c r="AD114" s="149"/>
      <c r="AE114" s="149"/>
      <c r="AF114" s="149"/>
      <c r="AG114" s="149"/>
      <c r="AH114" s="149"/>
      <c r="AI114" s="149"/>
      <c r="AJ114" s="149"/>
      <c r="AK114" s="32"/>
      <c r="AL114" s="150"/>
      <c r="AM114" s="151"/>
      <c r="AN114" s="32"/>
      <c r="AO114" s="110"/>
      <c r="AP114" s="110"/>
      <c r="AQ114" s="110"/>
      <c r="AR114" s="108"/>
      <c r="AS114" s="108"/>
      <c r="AT114" s="108"/>
      <c r="AU114" s="108"/>
      <c r="AV114" s="108"/>
      <c r="AW114" s="108"/>
      <c r="AX114" s="108"/>
      <c r="AY114" s="108"/>
      <c r="AZ114" s="108"/>
      <c r="BA114" s="108"/>
      <c r="BB114" s="108"/>
      <c r="BC114" s="108"/>
      <c r="BD114" s="108"/>
      <c r="BE114" s="108"/>
      <c r="BF114" s="136"/>
      <c r="BG114" s="108"/>
      <c r="BH114" s="108"/>
      <c r="BI114" s="108"/>
      <c r="BJ114" s="108"/>
      <c r="BK114" s="108"/>
      <c r="BL114" s="108"/>
      <c r="BM114" s="108"/>
      <c r="BN114" s="108"/>
      <c r="BO114" s="108"/>
      <c r="BP114" s="108"/>
      <c r="BQ114" s="108"/>
      <c r="BR114" s="108"/>
      <c r="BS114" s="108"/>
      <c r="BT114" s="32"/>
      <c r="BU114" s="32"/>
    </row>
    <row r="115" spans="1:73" ht="13.5">
      <c r="A115" s="47"/>
      <c r="B115" s="67"/>
      <c r="C115" s="68"/>
      <c r="D115" s="11"/>
      <c r="E115" s="3"/>
      <c r="F115" s="4"/>
      <c r="G115" s="4"/>
      <c r="H115" s="167"/>
      <c r="I115" s="4"/>
      <c r="J115" s="4"/>
      <c r="K115" s="49"/>
      <c r="L115" s="5"/>
      <c r="M115" s="5"/>
      <c r="N115" s="5"/>
      <c r="O115" s="5"/>
      <c r="P115" s="5"/>
      <c r="Q115" s="5"/>
      <c r="R115" s="5"/>
      <c r="S115" s="4"/>
      <c r="T115" s="6"/>
      <c r="U115" s="6"/>
      <c r="V115" s="41"/>
      <c r="W115" s="11"/>
      <c r="X115" s="32"/>
      <c r="Y115" s="32"/>
      <c r="Z115" s="32"/>
      <c r="AA115" s="154"/>
      <c r="AB115" s="154"/>
      <c r="AC115" s="154"/>
      <c r="AD115" s="154"/>
      <c r="AE115" s="154"/>
      <c r="AF115" s="154"/>
      <c r="AG115" s="154"/>
      <c r="AH115" s="154"/>
      <c r="AI115" s="154"/>
      <c r="AJ115" s="154"/>
      <c r="AK115" s="32"/>
      <c r="AL115" s="135"/>
      <c r="AM115" s="135"/>
      <c r="AN115" s="32"/>
      <c r="AO115" s="110"/>
      <c r="AP115" s="110"/>
      <c r="AQ115" s="110"/>
      <c r="AR115" s="108"/>
      <c r="AS115" s="108"/>
      <c r="AT115" s="108"/>
      <c r="AU115" s="108"/>
      <c r="AV115" s="108"/>
      <c r="AW115" s="108"/>
      <c r="AX115" s="108"/>
      <c r="AY115" s="108"/>
      <c r="AZ115" s="108"/>
      <c r="BA115" s="108"/>
      <c r="BB115" s="108"/>
      <c r="BC115" s="108"/>
      <c r="BD115" s="108"/>
      <c r="BE115" s="108"/>
      <c r="BF115" s="136"/>
      <c r="BG115" s="108"/>
      <c r="BH115" s="108"/>
      <c r="BI115" s="108"/>
      <c r="BJ115" s="108"/>
      <c r="BK115" s="108"/>
      <c r="BL115" s="108"/>
      <c r="BM115" s="108"/>
      <c r="BN115" s="108"/>
      <c r="BO115" s="108"/>
      <c r="BP115" s="108"/>
      <c r="BQ115" s="108"/>
      <c r="BR115" s="108"/>
      <c r="BS115" s="108"/>
      <c r="BT115" s="32"/>
      <c r="BU115" s="32"/>
    </row>
    <row r="116" spans="1:73" ht="13.5">
      <c r="A116" s="5"/>
      <c r="B116" s="67"/>
      <c r="C116" s="68"/>
      <c r="D116" s="11"/>
      <c r="E116" s="3"/>
      <c r="F116" s="4"/>
      <c r="G116" s="4"/>
      <c r="H116" s="167"/>
      <c r="I116" s="4"/>
      <c r="J116" s="4"/>
      <c r="K116" s="49"/>
      <c r="L116" s="5"/>
      <c r="M116" s="5"/>
      <c r="N116" s="5"/>
      <c r="O116" s="5"/>
      <c r="P116" s="5"/>
      <c r="Q116" s="5"/>
      <c r="R116" s="5"/>
      <c r="S116" s="4"/>
      <c r="T116" s="6"/>
      <c r="U116" s="6"/>
      <c r="V116" s="11"/>
      <c r="W116" s="70"/>
      <c r="X116" s="32"/>
      <c r="Y116" s="32"/>
      <c r="Z116" s="32"/>
      <c r="AA116" s="18"/>
      <c r="AB116" s="18"/>
      <c r="AC116" s="18"/>
      <c r="AD116" s="18"/>
      <c r="AE116" s="18"/>
      <c r="AF116" s="18"/>
      <c r="AG116" s="18"/>
      <c r="AH116" s="155"/>
      <c r="AI116" s="18"/>
      <c r="AJ116" s="18"/>
      <c r="AK116" s="32"/>
      <c r="AL116" s="135"/>
      <c r="AM116" s="135"/>
      <c r="AN116" s="32"/>
      <c r="AO116" s="110"/>
      <c r="AP116" s="110"/>
      <c r="AQ116" s="110"/>
      <c r="AR116" s="108"/>
      <c r="AS116" s="108"/>
      <c r="AT116" s="108"/>
      <c r="AU116" s="108"/>
      <c r="AV116" s="108"/>
      <c r="AW116" s="108"/>
      <c r="AX116" s="108"/>
      <c r="AY116" s="108"/>
      <c r="AZ116" s="108"/>
      <c r="BA116" s="108"/>
      <c r="BB116" s="108"/>
      <c r="BC116" s="108"/>
      <c r="BD116" s="108"/>
      <c r="BE116" s="108"/>
      <c r="BF116" s="136"/>
      <c r="BG116" s="108"/>
      <c r="BH116" s="108"/>
      <c r="BI116" s="108"/>
      <c r="BJ116" s="108"/>
      <c r="BK116" s="108"/>
      <c r="BL116" s="108"/>
      <c r="BM116" s="108"/>
      <c r="BN116" s="108"/>
      <c r="BO116" s="108"/>
      <c r="BP116" s="108"/>
      <c r="BQ116" s="108"/>
      <c r="BR116" s="108"/>
      <c r="BS116" s="108"/>
      <c r="BT116" s="32"/>
      <c r="BU116" s="32"/>
    </row>
    <row r="117" spans="1:73" ht="13.5">
      <c r="A117" s="51"/>
      <c r="B117" s="21"/>
      <c r="C117" s="10"/>
      <c r="D117" s="11"/>
      <c r="E117" s="3"/>
      <c r="F117" s="4"/>
      <c r="G117" s="4"/>
      <c r="H117" s="167"/>
      <c r="I117" s="4"/>
      <c r="J117" s="4"/>
      <c r="K117" s="60"/>
      <c r="L117" s="60"/>
      <c r="M117" s="60"/>
      <c r="N117" s="60"/>
      <c r="O117" s="60"/>
      <c r="P117" s="60"/>
      <c r="Q117" s="60"/>
      <c r="R117" s="60"/>
      <c r="S117" s="61"/>
      <c r="T117" s="6"/>
      <c r="U117" s="6"/>
      <c r="V117" s="13"/>
      <c r="W117" s="41"/>
      <c r="X117" s="32"/>
      <c r="Y117" s="32"/>
      <c r="Z117" s="32"/>
      <c r="AA117" s="18"/>
      <c r="AB117" s="18"/>
      <c r="AC117" s="18"/>
      <c r="AD117" s="18"/>
      <c r="AE117" s="18"/>
      <c r="AF117" s="18"/>
      <c r="AG117" s="18"/>
      <c r="AH117" s="18"/>
      <c r="AI117" s="18"/>
      <c r="AJ117" s="18"/>
      <c r="AK117" s="32"/>
      <c r="AL117" s="135"/>
      <c r="AM117" s="135"/>
      <c r="AN117" s="32"/>
      <c r="AO117" s="110"/>
      <c r="AP117" s="110"/>
      <c r="AQ117" s="110"/>
      <c r="AR117" s="108"/>
      <c r="AS117" s="108"/>
      <c r="AT117" s="108"/>
      <c r="AU117" s="108"/>
      <c r="AV117" s="108"/>
      <c r="AW117" s="108"/>
      <c r="AX117" s="108"/>
      <c r="AY117" s="108"/>
      <c r="AZ117" s="108"/>
      <c r="BA117" s="108"/>
      <c r="BB117" s="108"/>
      <c r="BC117" s="108"/>
      <c r="BD117" s="108"/>
      <c r="BE117" s="108"/>
      <c r="BF117" s="136"/>
      <c r="BG117" s="108"/>
      <c r="BH117" s="108"/>
      <c r="BI117" s="108"/>
      <c r="BJ117" s="108"/>
      <c r="BK117" s="108"/>
      <c r="BL117" s="108"/>
      <c r="BM117" s="108"/>
      <c r="BN117" s="108"/>
      <c r="BO117" s="108"/>
      <c r="BP117" s="108"/>
      <c r="BQ117" s="108"/>
      <c r="BR117" s="108"/>
      <c r="BS117" s="108"/>
      <c r="BT117" s="32"/>
      <c r="BU117" s="32"/>
    </row>
    <row r="118" spans="1:73" ht="13.5">
      <c r="A118" s="51"/>
      <c r="B118" s="46"/>
      <c r="C118" s="20"/>
      <c r="D118" s="11"/>
      <c r="E118" s="3"/>
      <c r="F118" s="4"/>
      <c r="G118" s="4"/>
      <c r="H118" s="167"/>
      <c r="I118" s="4"/>
      <c r="J118" s="4"/>
      <c r="K118" s="72"/>
      <c r="L118" s="60"/>
      <c r="M118" s="60"/>
      <c r="N118" s="60"/>
      <c r="O118" s="60"/>
      <c r="P118" s="60"/>
      <c r="Q118" s="60"/>
      <c r="R118" s="60"/>
      <c r="S118" s="61"/>
      <c r="T118" s="6"/>
      <c r="U118" s="6"/>
      <c r="V118" s="66"/>
      <c r="W118" s="11"/>
      <c r="X118" s="32"/>
      <c r="Y118" s="32"/>
      <c r="Z118" s="32"/>
      <c r="AA118" s="18"/>
      <c r="AB118" s="18"/>
      <c r="AC118" s="18"/>
      <c r="AD118" s="18"/>
      <c r="AE118" s="18"/>
      <c r="AF118" s="18"/>
      <c r="AH118" s="18"/>
      <c r="AI118" s="18"/>
      <c r="AJ118" s="18"/>
      <c r="AK118" s="32"/>
      <c r="AL118" s="135"/>
      <c r="AM118" s="135"/>
      <c r="AN118" s="32"/>
      <c r="AO118" s="110"/>
      <c r="AP118" s="110"/>
      <c r="AQ118" s="110"/>
      <c r="AR118" s="108"/>
      <c r="AS118" s="108"/>
      <c r="AT118" s="108"/>
      <c r="AU118" s="108"/>
      <c r="AV118" s="108"/>
      <c r="AW118" s="108"/>
      <c r="AX118" s="108"/>
      <c r="AY118" s="108"/>
      <c r="AZ118" s="108"/>
      <c r="BA118" s="108"/>
      <c r="BB118" s="108"/>
      <c r="BC118" s="108"/>
      <c r="BD118" s="108"/>
      <c r="BE118" s="108"/>
      <c r="BF118" s="136"/>
      <c r="BG118" s="108"/>
      <c r="BH118" s="108"/>
      <c r="BI118" s="108"/>
      <c r="BJ118" s="108"/>
      <c r="BK118" s="108"/>
      <c r="BL118" s="108"/>
      <c r="BM118" s="108"/>
      <c r="BN118" s="108"/>
      <c r="BO118" s="108"/>
      <c r="BP118" s="108"/>
      <c r="BQ118" s="108"/>
      <c r="BR118" s="108"/>
      <c r="BS118" s="108"/>
      <c r="BT118" s="32"/>
      <c r="BU118" s="32"/>
    </row>
    <row r="119" spans="1:73" ht="13.5">
      <c r="A119" s="62"/>
      <c r="B119" s="48"/>
      <c r="C119" s="48"/>
      <c r="D119" s="11"/>
      <c r="E119" s="3"/>
      <c r="F119" s="4"/>
      <c r="G119" s="4"/>
      <c r="H119" s="167"/>
      <c r="I119" s="4"/>
      <c r="J119" s="4"/>
      <c r="K119" s="49"/>
      <c r="L119" s="5"/>
      <c r="M119" s="4"/>
      <c r="N119" s="4"/>
      <c r="O119" s="4"/>
      <c r="P119" s="4"/>
      <c r="Q119" s="4"/>
      <c r="R119" s="4"/>
      <c r="S119" s="4"/>
      <c r="T119" s="63"/>
      <c r="U119" s="63"/>
      <c r="V119" s="11"/>
      <c r="W119" s="13"/>
      <c r="X119" s="114"/>
      <c r="Y119" s="114"/>
      <c r="Z119" s="114"/>
      <c r="AA119" s="138"/>
      <c r="AB119" s="148"/>
      <c r="AC119" s="148"/>
      <c r="AD119" s="148"/>
      <c r="AE119" s="148"/>
      <c r="AF119" s="148"/>
      <c r="AH119" s="147"/>
      <c r="AI119" s="147"/>
      <c r="AJ119" s="147"/>
      <c r="AK119" s="114"/>
      <c r="AL119" s="156"/>
      <c r="AM119" s="156"/>
      <c r="AN119" s="114"/>
      <c r="AO119" s="110"/>
      <c r="AP119" s="110"/>
      <c r="AQ119" s="110"/>
      <c r="AR119" s="108"/>
      <c r="AS119" s="108"/>
      <c r="AT119" s="108"/>
      <c r="AU119" s="108"/>
      <c r="AV119" s="108"/>
      <c r="AW119" s="108"/>
      <c r="AX119" s="108"/>
      <c r="AY119" s="108"/>
      <c r="AZ119" s="108"/>
      <c r="BA119" s="108"/>
      <c r="BB119" s="108"/>
      <c r="BC119" s="108"/>
      <c r="BD119" s="108"/>
      <c r="BE119" s="108"/>
      <c r="BF119" s="136"/>
      <c r="BG119" s="108"/>
      <c r="BH119" s="108"/>
      <c r="BI119" s="108"/>
      <c r="BJ119" s="108"/>
      <c r="BK119" s="108"/>
      <c r="BL119" s="108"/>
      <c r="BM119" s="108"/>
      <c r="BN119" s="108"/>
      <c r="BO119" s="108"/>
      <c r="BP119" s="108"/>
      <c r="BQ119" s="108"/>
      <c r="BR119" s="108"/>
      <c r="BS119" s="115"/>
      <c r="BT119" s="114"/>
      <c r="BU119" s="114"/>
    </row>
    <row r="120" spans="1:73" ht="13.5">
      <c r="A120" s="62"/>
      <c r="B120" s="21"/>
      <c r="C120" s="21"/>
      <c r="D120" s="11"/>
      <c r="E120" s="3"/>
      <c r="F120" s="4"/>
      <c r="G120" s="4"/>
      <c r="H120" s="167"/>
      <c r="I120" s="4"/>
      <c r="J120" s="4"/>
      <c r="K120" s="49"/>
      <c r="L120" s="5"/>
      <c r="M120" s="2"/>
      <c r="N120" s="4"/>
      <c r="O120" s="4"/>
      <c r="P120" s="4"/>
      <c r="Q120" s="4"/>
      <c r="R120" s="4"/>
      <c r="S120" s="4"/>
      <c r="T120" s="63"/>
      <c r="U120" s="63"/>
      <c r="V120" s="11"/>
      <c r="W120" s="66"/>
      <c r="X120" s="114"/>
      <c r="Y120" s="114"/>
      <c r="Z120" s="114"/>
      <c r="AA120" s="138"/>
      <c r="AB120" s="147"/>
      <c r="AC120" s="147"/>
      <c r="AD120" s="147"/>
      <c r="AE120" s="147"/>
      <c r="AF120" s="147"/>
      <c r="AH120" s="147"/>
      <c r="AI120" s="147"/>
      <c r="AJ120" s="147"/>
      <c r="AK120" s="114"/>
      <c r="AL120" s="156"/>
      <c r="AM120" s="156"/>
      <c r="AN120" s="114"/>
      <c r="AO120" s="110"/>
      <c r="AP120" s="110"/>
      <c r="AQ120" s="110"/>
      <c r="AR120" s="108"/>
      <c r="AS120" s="108"/>
      <c r="AT120" s="108"/>
      <c r="AU120" s="108"/>
      <c r="AV120" s="108"/>
      <c r="AW120" s="108"/>
      <c r="AX120" s="108"/>
      <c r="AY120" s="108"/>
      <c r="AZ120" s="108"/>
      <c r="BA120" s="108"/>
      <c r="BB120" s="108"/>
      <c r="BC120" s="108"/>
      <c r="BD120" s="108"/>
      <c r="BE120" s="108"/>
      <c r="BF120" s="136"/>
      <c r="BG120" s="108"/>
      <c r="BH120" s="108"/>
      <c r="BI120" s="108"/>
      <c r="BJ120" s="108"/>
      <c r="BK120" s="108"/>
      <c r="BL120" s="108"/>
      <c r="BM120" s="108"/>
      <c r="BN120" s="108"/>
      <c r="BO120" s="108"/>
      <c r="BP120" s="108"/>
      <c r="BQ120" s="108"/>
      <c r="BR120" s="108"/>
      <c r="BS120" s="115"/>
      <c r="BT120" s="114"/>
      <c r="BU120" s="114"/>
    </row>
    <row r="121" spans="1:73" ht="13.5">
      <c r="A121" s="51"/>
      <c r="B121" s="67"/>
      <c r="C121" s="67"/>
      <c r="D121" s="11"/>
      <c r="E121" s="3"/>
      <c r="F121" s="4"/>
      <c r="G121" s="4"/>
      <c r="H121" s="167"/>
      <c r="I121" s="4"/>
      <c r="J121" s="4"/>
      <c r="K121" s="5"/>
      <c r="L121" s="4"/>
      <c r="M121" s="4"/>
      <c r="N121" s="4"/>
      <c r="O121" s="4"/>
      <c r="P121" s="4"/>
      <c r="Q121" s="4"/>
      <c r="R121" s="4"/>
      <c r="S121" s="4"/>
      <c r="T121" s="6"/>
      <c r="U121" s="6"/>
      <c r="V121" s="41"/>
      <c r="W121" s="11"/>
      <c r="X121" s="111"/>
      <c r="Y121" s="32"/>
      <c r="Z121" s="32"/>
      <c r="AA121" s="108"/>
      <c r="AB121" s="135"/>
      <c r="AC121" s="135"/>
      <c r="AD121" s="135"/>
      <c r="AE121" s="135"/>
      <c r="AF121" s="135"/>
      <c r="AG121" s="135"/>
      <c r="AH121" s="135"/>
      <c r="AI121" s="135"/>
      <c r="AJ121" s="135"/>
      <c r="AK121" s="135"/>
      <c r="AL121" s="135"/>
      <c r="AM121" s="135"/>
      <c r="AN121" s="32"/>
      <c r="AO121" s="110"/>
      <c r="AP121" s="110"/>
      <c r="AQ121" s="110"/>
      <c r="AR121" s="108"/>
      <c r="AS121" s="108"/>
      <c r="AT121" s="108"/>
      <c r="AU121" s="108"/>
      <c r="AV121" s="108"/>
      <c r="AW121" s="108"/>
      <c r="AX121" s="108"/>
      <c r="AY121" s="108"/>
      <c r="AZ121" s="108"/>
      <c r="BA121" s="108"/>
      <c r="BB121" s="108"/>
      <c r="BC121" s="108"/>
      <c r="BD121" s="108"/>
      <c r="BE121" s="108"/>
      <c r="BF121" s="136"/>
      <c r="BG121" s="108"/>
      <c r="BH121" s="108"/>
      <c r="BI121" s="108"/>
      <c r="BJ121" s="108"/>
      <c r="BK121" s="108"/>
      <c r="BL121" s="108"/>
      <c r="BM121" s="108"/>
      <c r="BN121" s="108"/>
      <c r="BO121" s="108"/>
      <c r="BP121" s="108"/>
      <c r="BQ121" s="108"/>
      <c r="BR121" s="108"/>
      <c r="BS121" s="108"/>
      <c r="BT121" s="32"/>
      <c r="BU121" s="32"/>
    </row>
    <row r="122" spans="1:73" ht="13.5">
      <c r="A122" s="51"/>
      <c r="B122" s="67"/>
      <c r="C122" s="67"/>
      <c r="D122" s="11"/>
      <c r="E122" s="3"/>
      <c r="F122" s="4"/>
      <c r="G122" s="4"/>
      <c r="H122" s="167"/>
      <c r="I122" s="4"/>
      <c r="J122" s="4"/>
      <c r="K122" s="5"/>
      <c r="L122" s="4"/>
      <c r="M122" s="4"/>
      <c r="N122" s="4"/>
      <c r="O122" s="4"/>
      <c r="P122" s="4"/>
      <c r="Q122" s="4"/>
      <c r="R122" s="4"/>
      <c r="S122" s="4"/>
      <c r="T122" s="6"/>
      <c r="U122" s="6"/>
      <c r="V122" s="11"/>
      <c r="W122" s="11"/>
      <c r="X122" s="111"/>
      <c r="Y122" s="32"/>
      <c r="Z122" s="32"/>
      <c r="AA122" s="108"/>
      <c r="AB122" s="135"/>
      <c r="AC122" s="135"/>
      <c r="AD122" s="135"/>
      <c r="AE122" s="135"/>
      <c r="AF122" s="135"/>
      <c r="AG122" s="135"/>
      <c r="AH122" s="135"/>
      <c r="AI122" s="135"/>
      <c r="AJ122" s="135"/>
      <c r="AK122" s="135"/>
      <c r="AL122" s="135"/>
      <c r="AM122" s="135"/>
      <c r="AN122" s="32"/>
      <c r="AO122" s="110"/>
      <c r="AP122" s="110"/>
      <c r="AQ122" s="110"/>
      <c r="AR122" s="108"/>
      <c r="AS122" s="108"/>
      <c r="AT122" s="108"/>
      <c r="AU122" s="108"/>
      <c r="AV122" s="108"/>
      <c r="AW122" s="108"/>
      <c r="AX122" s="108"/>
      <c r="AY122" s="108"/>
      <c r="AZ122" s="108"/>
      <c r="BA122" s="108"/>
      <c r="BB122" s="108"/>
      <c r="BC122" s="108"/>
      <c r="BD122" s="108"/>
      <c r="BE122" s="108"/>
      <c r="BF122" s="136"/>
      <c r="BG122" s="108"/>
      <c r="BH122" s="108"/>
      <c r="BI122" s="108"/>
      <c r="BJ122" s="108"/>
      <c r="BK122" s="108"/>
      <c r="BL122" s="108"/>
      <c r="BM122" s="108"/>
      <c r="BN122" s="108"/>
      <c r="BO122" s="108"/>
      <c r="BP122" s="108"/>
      <c r="BQ122" s="108"/>
      <c r="BR122" s="108"/>
      <c r="BS122" s="108"/>
      <c r="BT122" s="32"/>
      <c r="BU122" s="32"/>
    </row>
    <row r="123" spans="1:73" ht="13.5">
      <c r="A123" s="51"/>
      <c r="B123" s="21"/>
      <c r="C123" s="21"/>
      <c r="D123" s="11"/>
      <c r="E123" s="3"/>
      <c r="F123" s="4"/>
      <c r="G123" s="4"/>
      <c r="H123" s="167"/>
      <c r="I123" s="4"/>
      <c r="J123" s="4"/>
      <c r="K123" s="5"/>
      <c r="L123" s="4"/>
      <c r="M123" s="4"/>
      <c r="N123" s="4"/>
      <c r="O123" s="4"/>
      <c r="P123" s="4"/>
      <c r="Q123" s="4"/>
      <c r="R123" s="4"/>
      <c r="S123" s="4"/>
      <c r="T123" s="6"/>
      <c r="U123" s="6"/>
      <c r="V123" s="11"/>
      <c r="W123" s="41"/>
      <c r="X123" s="142"/>
      <c r="Y123" s="32"/>
      <c r="Z123" s="32"/>
      <c r="AA123" s="108"/>
      <c r="AB123" s="32"/>
      <c r="AC123" s="32"/>
      <c r="AD123" s="32"/>
      <c r="AE123" s="32"/>
      <c r="AF123" s="32"/>
      <c r="AG123" s="135"/>
      <c r="AH123" s="135"/>
      <c r="AI123" s="135"/>
      <c r="AJ123" s="157"/>
      <c r="AK123" s="157"/>
      <c r="AL123" s="150"/>
      <c r="AM123" s="135"/>
      <c r="AN123" s="32"/>
      <c r="AO123" s="110"/>
      <c r="AP123" s="110"/>
      <c r="AQ123" s="110"/>
      <c r="AR123" s="108"/>
      <c r="AS123" s="108"/>
      <c r="AT123" s="108"/>
      <c r="AU123" s="108"/>
      <c r="AV123" s="108"/>
      <c r="AW123" s="108"/>
      <c r="AX123" s="108"/>
      <c r="AY123" s="108"/>
      <c r="AZ123" s="108"/>
      <c r="BA123" s="108"/>
      <c r="BB123" s="108"/>
      <c r="BC123" s="108"/>
      <c r="BD123" s="108"/>
      <c r="BE123" s="108"/>
      <c r="BF123" s="136"/>
      <c r="BG123" s="108"/>
      <c r="BH123" s="108"/>
      <c r="BI123" s="108"/>
      <c r="BJ123" s="108"/>
      <c r="BK123" s="108"/>
      <c r="BL123" s="108"/>
      <c r="BM123" s="108"/>
      <c r="BN123" s="108"/>
      <c r="BO123" s="108"/>
      <c r="BP123" s="108"/>
      <c r="BQ123" s="108"/>
      <c r="BR123" s="108"/>
      <c r="BS123" s="108"/>
      <c r="BT123" s="32"/>
      <c r="BU123" s="32"/>
    </row>
    <row r="124" spans="1:73" ht="13.5">
      <c r="A124" s="51"/>
      <c r="B124" s="21"/>
      <c r="C124" s="21"/>
      <c r="D124" s="11"/>
      <c r="E124" s="3"/>
      <c r="F124" s="4"/>
      <c r="G124" s="4"/>
      <c r="H124" s="167"/>
      <c r="I124" s="4"/>
      <c r="J124" s="4"/>
      <c r="K124" s="72"/>
      <c r="L124" s="61"/>
      <c r="M124" s="61"/>
      <c r="N124" s="61"/>
      <c r="O124" s="61"/>
      <c r="P124" s="61"/>
      <c r="Q124" s="61"/>
      <c r="R124" s="61"/>
      <c r="S124" s="61"/>
      <c r="T124" s="6"/>
      <c r="U124" s="6"/>
      <c r="V124" s="13"/>
      <c r="W124" s="11"/>
      <c r="X124" s="111"/>
      <c r="Y124" s="32"/>
      <c r="Z124" s="32"/>
      <c r="AA124" s="108"/>
      <c r="AB124" s="32"/>
      <c r="AC124" s="32"/>
      <c r="AD124" s="32"/>
      <c r="AE124" s="32"/>
      <c r="AF124" s="32"/>
      <c r="AG124" s="135"/>
      <c r="AH124" s="135"/>
      <c r="AI124" s="135"/>
      <c r="AJ124" s="157"/>
      <c r="AK124" s="157"/>
      <c r="AL124" s="150"/>
      <c r="AM124" s="135"/>
      <c r="AN124" s="32"/>
      <c r="AO124" s="110"/>
      <c r="AP124" s="110"/>
      <c r="AQ124" s="110"/>
      <c r="AR124" s="108"/>
      <c r="AS124" s="108"/>
      <c r="AT124" s="108"/>
      <c r="AU124" s="108"/>
      <c r="AV124" s="108"/>
      <c r="AW124" s="108"/>
      <c r="AX124" s="108"/>
      <c r="AY124" s="108"/>
      <c r="AZ124" s="108"/>
      <c r="BA124" s="108"/>
      <c r="BB124" s="108"/>
      <c r="BC124" s="108"/>
      <c r="BD124" s="108"/>
      <c r="BE124" s="108"/>
      <c r="BF124" s="136"/>
      <c r="BG124" s="108"/>
      <c r="BH124" s="108"/>
      <c r="BI124" s="108"/>
      <c r="BJ124" s="108"/>
      <c r="BK124" s="108"/>
      <c r="BL124" s="108"/>
      <c r="BM124" s="108"/>
      <c r="BN124" s="108"/>
      <c r="BO124" s="108"/>
      <c r="BP124" s="108"/>
      <c r="BQ124" s="108"/>
      <c r="BR124" s="108"/>
      <c r="BS124" s="108"/>
      <c r="BT124" s="32"/>
      <c r="BU124" s="32"/>
    </row>
    <row r="125" spans="1:73" ht="13.5">
      <c r="A125" s="51"/>
      <c r="B125" s="46"/>
      <c r="C125" s="46"/>
      <c r="D125" s="11"/>
      <c r="E125" s="3"/>
      <c r="F125" s="4"/>
      <c r="G125" s="4"/>
      <c r="H125" s="167"/>
      <c r="I125" s="4"/>
      <c r="J125" s="4"/>
      <c r="K125" s="49"/>
      <c r="L125" s="4"/>
      <c r="M125" s="4"/>
      <c r="N125" s="4"/>
      <c r="O125" s="4"/>
      <c r="P125" s="4"/>
      <c r="Q125" s="4"/>
      <c r="R125" s="4"/>
      <c r="S125" s="4"/>
      <c r="T125" s="6"/>
      <c r="U125" s="6"/>
      <c r="V125" s="41"/>
      <c r="W125" s="11"/>
      <c r="X125" s="111"/>
      <c r="Y125" s="32"/>
      <c r="Z125" s="32"/>
      <c r="AA125" s="18"/>
      <c r="AB125" s="18"/>
      <c r="AC125" s="18"/>
      <c r="AD125" s="18"/>
      <c r="AE125" s="18"/>
      <c r="AF125" s="18"/>
      <c r="AG125" s="18" t="s">
        <v>37</v>
      </c>
      <c r="AH125" s="135"/>
      <c r="AI125" s="135"/>
      <c r="AJ125" s="157"/>
      <c r="AK125" s="157"/>
      <c r="AL125" s="150"/>
      <c r="AM125" s="135"/>
      <c r="AN125" s="32"/>
      <c r="AO125" s="110"/>
      <c r="AP125" s="110"/>
      <c r="AQ125" s="110"/>
      <c r="AR125" s="108"/>
      <c r="AS125" s="108"/>
      <c r="AT125" s="108"/>
      <c r="AU125" s="108"/>
      <c r="AV125" s="108"/>
      <c r="AW125" s="108"/>
      <c r="AX125" s="108"/>
      <c r="AY125" s="108"/>
      <c r="AZ125" s="108"/>
      <c r="BA125" s="108"/>
      <c r="BB125" s="108"/>
      <c r="BC125" s="108"/>
      <c r="BD125" s="108"/>
      <c r="BE125" s="108"/>
      <c r="BF125" s="136"/>
      <c r="BG125" s="108"/>
      <c r="BH125" s="108"/>
      <c r="BI125" s="108"/>
      <c r="BJ125" s="108"/>
      <c r="BK125" s="108"/>
      <c r="BL125" s="108"/>
      <c r="BM125" s="108"/>
      <c r="BN125" s="108"/>
      <c r="BO125" s="108"/>
      <c r="BP125" s="108"/>
      <c r="BQ125" s="108"/>
      <c r="BR125" s="108"/>
      <c r="BS125" s="108"/>
      <c r="BT125" s="32"/>
      <c r="BU125" s="32"/>
    </row>
    <row r="126" spans="1:73" ht="13.5">
      <c r="A126" s="60"/>
      <c r="B126" s="48"/>
      <c r="C126" s="48"/>
      <c r="D126" s="11"/>
      <c r="E126" s="3"/>
      <c r="F126" s="4"/>
      <c r="G126" s="4"/>
      <c r="H126" s="167"/>
      <c r="I126" s="4"/>
      <c r="J126" s="4"/>
      <c r="K126" s="5"/>
      <c r="L126" s="4"/>
      <c r="M126" s="53"/>
      <c r="N126" s="4"/>
      <c r="O126" s="53"/>
      <c r="P126" s="53"/>
      <c r="Q126" s="53"/>
      <c r="R126" s="53"/>
      <c r="S126" s="4"/>
      <c r="T126" s="63"/>
      <c r="U126" s="63"/>
      <c r="V126" s="11"/>
      <c r="W126" s="13"/>
      <c r="X126" s="158"/>
      <c r="Y126" s="114"/>
      <c r="Z126" s="114"/>
      <c r="AA126" s="138"/>
      <c r="AB126" s="148"/>
      <c r="AC126" s="148"/>
      <c r="AD126" s="148"/>
      <c r="AE126" s="148"/>
      <c r="AF126" s="148"/>
      <c r="AG126" s="159" t="s">
        <v>38</v>
      </c>
      <c r="AH126" s="156"/>
      <c r="AI126" s="156"/>
      <c r="AJ126" s="160"/>
      <c r="AK126" s="160"/>
      <c r="AL126" s="152"/>
      <c r="AM126" s="156"/>
      <c r="AN126" s="114"/>
      <c r="AO126" s="110"/>
      <c r="AP126" s="110"/>
      <c r="AQ126" s="110"/>
      <c r="AR126" s="108"/>
      <c r="AS126" s="108"/>
      <c r="AT126" s="108"/>
      <c r="AU126" s="108"/>
      <c r="AV126" s="108"/>
      <c r="AW126" s="108"/>
      <c r="AX126" s="108"/>
      <c r="AY126" s="108"/>
      <c r="AZ126" s="108"/>
      <c r="BA126" s="108"/>
      <c r="BB126" s="108"/>
      <c r="BC126" s="108"/>
      <c r="BD126" s="108"/>
      <c r="BE126" s="108"/>
      <c r="BF126" s="136"/>
      <c r="BG126" s="108"/>
      <c r="BH126" s="108"/>
      <c r="BI126" s="108"/>
      <c r="BJ126" s="108"/>
      <c r="BK126" s="108"/>
      <c r="BL126" s="108"/>
      <c r="BM126" s="108"/>
      <c r="BN126" s="108"/>
      <c r="BO126" s="108"/>
      <c r="BP126" s="108"/>
      <c r="BQ126" s="108"/>
      <c r="BR126" s="108"/>
      <c r="BS126" s="115"/>
      <c r="BT126" s="114"/>
      <c r="BU126" s="114"/>
    </row>
    <row r="127" spans="1:73" ht="13.5">
      <c r="A127" s="5"/>
      <c r="B127" s="21"/>
      <c r="C127" s="21"/>
      <c r="D127" s="11"/>
      <c r="E127" s="3"/>
      <c r="F127" s="4"/>
      <c r="G127" s="4"/>
      <c r="H127" s="167"/>
      <c r="I127" s="4"/>
      <c r="J127" s="4"/>
      <c r="K127" s="5"/>
      <c r="L127" s="4"/>
      <c r="M127" s="53"/>
      <c r="N127" s="4"/>
      <c r="O127" s="53"/>
      <c r="P127" s="53"/>
      <c r="Q127" s="53"/>
      <c r="R127" s="53"/>
      <c r="S127" s="4"/>
      <c r="T127" s="6"/>
      <c r="U127" s="6"/>
      <c r="V127" s="11"/>
      <c r="W127" s="41"/>
      <c r="X127" s="142"/>
      <c r="Y127" s="32"/>
      <c r="Z127" s="32"/>
      <c r="AA127" s="108"/>
      <c r="AB127" s="32"/>
      <c r="AC127" s="32"/>
      <c r="AD127" s="32"/>
      <c r="AE127" s="32"/>
      <c r="AF127" s="32"/>
      <c r="AG127" s="135"/>
      <c r="AH127" s="135"/>
      <c r="AI127" s="135"/>
      <c r="AJ127" s="157"/>
      <c r="AK127" s="157"/>
      <c r="AL127" s="150"/>
      <c r="AM127" s="135"/>
      <c r="AN127" s="32"/>
      <c r="AO127" s="110"/>
      <c r="AP127" s="110"/>
      <c r="AQ127" s="110"/>
      <c r="AR127" s="108"/>
      <c r="AS127" s="108"/>
      <c r="AT127" s="108"/>
      <c r="AU127" s="108"/>
      <c r="AV127" s="108"/>
      <c r="AW127" s="108"/>
      <c r="AX127" s="108"/>
      <c r="AY127" s="108"/>
      <c r="AZ127" s="108"/>
      <c r="BA127" s="108"/>
      <c r="BB127" s="108"/>
      <c r="BC127" s="108"/>
      <c r="BD127" s="108"/>
      <c r="BE127" s="108"/>
      <c r="BF127" s="136"/>
      <c r="BG127" s="108"/>
      <c r="BH127" s="108"/>
      <c r="BI127" s="108"/>
      <c r="BJ127" s="108"/>
      <c r="BK127" s="108"/>
      <c r="BL127" s="108"/>
      <c r="BM127" s="108"/>
      <c r="BN127" s="108"/>
      <c r="BO127" s="108"/>
      <c r="BP127" s="108"/>
      <c r="BQ127" s="108"/>
      <c r="BR127" s="108"/>
      <c r="BS127" s="108"/>
      <c r="BT127" s="32"/>
      <c r="BU127" s="32"/>
    </row>
    <row r="128" spans="1:73" ht="13.5">
      <c r="A128" s="45"/>
      <c r="B128" s="67"/>
      <c r="C128" s="67"/>
      <c r="D128" s="11"/>
      <c r="E128" s="3"/>
      <c r="F128" s="4"/>
      <c r="G128" s="4"/>
      <c r="H128" s="167"/>
      <c r="I128" s="4"/>
      <c r="J128" s="4"/>
      <c r="K128" s="5"/>
      <c r="L128" s="4"/>
      <c r="M128" s="4"/>
      <c r="N128" s="4"/>
      <c r="O128" s="4"/>
      <c r="P128" s="4"/>
      <c r="Q128" s="4"/>
      <c r="R128" s="4"/>
      <c r="S128" s="4"/>
      <c r="T128" s="6"/>
      <c r="U128" s="6"/>
      <c r="V128" s="4"/>
      <c r="W128" s="11"/>
      <c r="X128" s="111"/>
      <c r="Y128" s="32"/>
      <c r="Z128" s="32"/>
      <c r="AA128" s="108"/>
      <c r="AB128" s="135"/>
      <c r="AC128" s="135"/>
      <c r="AD128" s="135"/>
      <c r="AE128" s="135"/>
      <c r="AF128" s="135"/>
      <c r="AG128" s="135"/>
      <c r="AH128" s="135"/>
      <c r="AI128" s="135"/>
      <c r="AJ128" s="135"/>
      <c r="AK128" s="135"/>
      <c r="AL128" s="135"/>
      <c r="AM128" s="135"/>
      <c r="AN128" s="32"/>
      <c r="AO128" s="110"/>
      <c r="AP128" s="110"/>
      <c r="AQ128" s="110"/>
      <c r="AR128" s="108"/>
      <c r="AS128" s="108"/>
      <c r="AT128" s="108"/>
      <c r="AU128" s="108"/>
      <c r="AV128" s="108"/>
      <c r="AW128" s="108"/>
      <c r="AX128" s="108"/>
      <c r="AY128" s="108"/>
      <c r="AZ128" s="108"/>
      <c r="BA128" s="108"/>
      <c r="BB128" s="108"/>
      <c r="BC128" s="108"/>
      <c r="BD128" s="108"/>
      <c r="BE128" s="108"/>
      <c r="BF128" s="136"/>
      <c r="BG128" s="108"/>
      <c r="BH128" s="108"/>
      <c r="BI128" s="108"/>
      <c r="BJ128" s="108"/>
      <c r="BK128" s="108"/>
      <c r="BL128" s="108"/>
      <c r="BM128" s="108"/>
      <c r="BN128" s="108"/>
      <c r="BO128" s="108"/>
      <c r="BP128" s="108"/>
      <c r="BQ128" s="108"/>
      <c r="BR128" s="108"/>
      <c r="BS128" s="108"/>
      <c r="BT128" s="32"/>
      <c r="BU128" s="32"/>
    </row>
    <row r="129" spans="1:73" ht="13.5">
      <c r="A129" s="47"/>
      <c r="B129" s="21"/>
      <c r="C129" s="11"/>
      <c r="D129" s="11"/>
      <c r="E129" s="3"/>
      <c r="F129" s="4"/>
      <c r="G129" s="4"/>
      <c r="H129" s="167"/>
      <c r="I129" s="4"/>
      <c r="J129" s="4"/>
      <c r="K129" s="49"/>
      <c r="L129" s="1"/>
      <c r="M129" s="4"/>
      <c r="N129" s="4"/>
      <c r="O129" s="4"/>
      <c r="P129" s="4"/>
      <c r="Q129" s="4"/>
      <c r="R129" s="4"/>
      <c r="S129" s="4"/>
      <c r="T129" s="6"/>
      <c r="U129" s="6"/>
      <c r="V129" s="4"/>
      <c r="W129" s="11"/>
      <c r="X129" s="111"/>
      <c r="Y129" s="32"/>
      <c r="Z129" s="135"/>
      <c r="AA129" s="108"/>
      <c r="AB129" s="32"/>
      <c r="AC129" s="32"/>
      <c r="AD129" s="32"/>
      <c r="AE129" s="32"/>
      <c r="AF129" s="32"/>
      <c r="AG129" s="135"/>
      <c r="AH129" s="135"/>
      <c r="AI129" s="108"/>
      <c r="AJ129" s="135"/>
      <c r="AK129" s="135"/>
      <c r="AL129" s="135"/>
      <c r="AM129" s="135"/>
      <c r="AN129" s="32"/>
      <c r="AO129" s="110"/>
      <c r="AP129" s="110"/>
      <c r="AQ129" s="110"/>
      <c r="AR129" s="108"/>
      <c r="AS129" s="108"/>
      <c r="AT129" s="108"/>
      <c r="AU129" s="108"/>
      <c r="AV129" s="108"/>
      <c r="AW129" s="108"/>
      <c r="AX129" s="108"/>
      <c r="AY129" s="108"/>
      <c r="AZ129" s="108"/>
      <c r="BA129" s="108"/>
      <c r="BB129" s="108"/>
      <c r="BC129" s="108"/>
      <c r="BD129" s="108"/>
      <c r="BE129" s="108"/>
      <c r="BF129" s="136"/>
      <c r="BG129" s="108"/>
      <c r="BH129" s="108"/>
      <c r="BI129" s="108"/>
      <c r="BJ129" s="108"/>
      <c r="BK129" s="108"/>
      <c r="BL129" s="108"/>
      <c r="BM129" s="108"/>
      <c r="BN129" s="108"/>
      <c r="BO129" s="108"/>
      <c r="BP129" s="108"/>
      <c r="BQ129" s="108"/>
      <c r="BR129" s="108"/>
      <c r="BS129" s="108"/>
      <c r="BT129" s="32"/>
      <c r="BU129" s="32"/>
    </row>
    <row r="130" spans="1:73" ht="13.5">
      <c r="A130" s="5"/>
      <c r="B130" s="21"/>
      <c r="C130" s="11"/>
      <c r="D130" s="11"/>
      <c r="E130" s="3"/>
      <c r="F130" s="4"/>
      <c r="G130" s="4"/>
      <c r="H130" s="167"/>
      <c r="I130" s="4"/>
      <c r="J130" s="4"/>
      <c r="K130" s="49"/>
      <c r="L130" s="73"/>
      <c r="M130" s="4"/>
      <c r="N130" s="4"/>
      <c r="O130" s="4"/>
      <c r="P130" s="4"/>
      <c r="Q130" s="4"/>
      <c r="R130" s="4"/>
      <c r="S130" s="4"/>
      <c r="T130" s="6"/>
      <c r="U130" s="6"/>
      <c r="V130" s="4"/>
      <c r="W130" s="4"/>
      <c r="X130" s="18"/>
      <c r="Y130" s="32"/>
      <c r="Z130" s="135"/>
      <c r="AA130" s="108"/>
      <c r="AB130" s="32"/>
      <c r="AC130" s="32"/>
      <c r="AD130" s="32"/>
      <c r="AE130" s="32"/>
      <c r="AF130" s="32"/>
      <c r="AG130" s="135"/>
      <c r="AH130" s="135"/>
      <c r="AI130" s="108"/>
      <c r="AJ130" s="135"/>
      <c r="AK130" s="135"/>
      <c r="AL130" s="135"/>
      <c r="AM130" s="135"/>
      <c r="AN130" s="32"/>
      <c r="AO130" s="110"/>
      <c r="AP130" s="110"/>
      <c r="AQ130" s="110"/>
      <c r="AR130" s="108"/>
      <c r="AS130" s="108"/>
      <c r="AT130" s="108"/>
      <c r="AU130" s="108"/>
      <c r="AV130" s="108"/>
      <c r="AW130" s="108"/>
      <c r="AX130" s="108"/>
      <c r="AY130" s="108"/>
      <c r="AZ130" s="108"/>
      <c r="BA130" s="108"/>
      <c r="BB130" s="108"/>
      <c r="BC130" s="108"/>
      <c r="BD130" s="108"/>
      <c r="BE130" s="108"/>
      <c r="BF130" s="136"/>
      <c r="BG130" s="108"/>
      <c r="BH130" s="108"/>
      <c r="BI130" s="108"/>
      <c r="BJ130" s="108"/>
      <c r="BK130" s="108"/>
      <c r="BL130" s="108"/>
      <c r="BM130" s="108"/>
      <c r="BN130" s="108"/>
      <c r="BO130" s="108"/>
      <c r="BP130" s="108"/>
      <c r="BQ130" s="108"/>
      <c r="BR130" s="108"/>
      <c r="BS130" s="108"/>
      <c r="BT130" s="32"/>
      <c r="BU130" s="32"/>
    </row>
    <row r="131" spans="1:73" ht="13.5">
      <c r="A131" s="51"/>
      <c r="B131" s="21"/>
      <c r="C131" s="11"/>
      <c r="D131" s="11"/>
      <c r="E131" s="3"/>
      <c r="F131" s="4"/>
      <c r="G131" s="4"/>
      <c r="H131" s="167"/>
      <c r="I131" s="4"/>
      <c r="J131" s="4"/>
      <c r="T131" s="6"/>
      <c r="U131" s="6"/>
      <c r="W131" s="4"/>
      <c r="X131" s="18"/>
      <c r="Y131" s="32"/>
      <c r="Z131" s="135"/>
      <c r="AA131" s="108"/>
      <c r="AB131" s="32"/>
      <c r="AC131" s="32"/>
      <c r="AD131" s="32"/>
      <c r="AE131" s="32"/>
      <c r="AF131" s="32"/>
      <c r="AG131" s="135"/>
      <c r="AH131" s="135"/>
      <c r="AI131" s="108"/>
      <c r="AJ131" s="135"/>
      <c r="AK131" s="135"/>
      <c r="AL131" s="135"/>
      <c r="AM131" s="135"/>
      <c r="AN131" s="32"/>
      <c r="AO131" s="110"/>
      <c r="AP131" s="110"/>
      <c r="AQ131" s="110"/>
      <c r="AR131" s="108"/>
      <c r="AS131" s="108"/>
      <c r="AT131" s="108"/>
      <c r="AU131" s="108"/>
      <c r="AV131" s="108"/>
      <c r="AW131" s="108"/>
      <c r="AX131" s="108"/>
      <c r="AY131" s="108"/>
      <c r="AZ131" s="108"/>
      <c r="BA131" s="108"/>
      <c r="BB131" s="108"/>
      <c r="BC131" s="108"/>
      <c r="BD131" s="108"/>
      <c r="BE131" s="108"/>
      <c r="BF131" s="136"/>
      <c r="BG131" s="108"/>
      <c r="BH131" s="108"/>
      <c r="BI131" s="108"/>
      <c r="BJ131" s="108"/>
      <c r="BK131" s="108"/>
      <c r="BL131" s="108"/>
      <c r="BM131" s="108"/>
      <c r="BN131" s="108"/>
      <c r="BO131" s="108"/>
      <c r="BP131" s="108"/>
      <c r="BQ131" s="108"/>
      <c r="BR131" s="108"/>
      <c r="BS131" s="108"/>
      <c r="BT131" s="32"/>
      <c r="BU131" s="32"/>
    </row>
    <row r="132" spans="1:73" ht="13.5">
      <c r="A132" s="51"/>
      <c r="B132" s="21"/>
      <c r="C132" s="11"/>
      <c r="D132" s="11"/>
      <c r="E132" s="3"/>
      <c r="F132" s="4"/>
      <c r="G132" s="4"/>
      <c r="H132" s="167"/>
      <c r="I132" s="4"/>
      <c r="J132" s="4"/>
      <c r="T132" s="6"/>
      <c r="U132" s="6"/>
      <c r="W132" s="4"/>
      <c r="X132" s="18"/>
      <c r="Y132" s="32"/>
      <c r="Z132" s="32"/>
      <c r="AA132" s="108"/>
      <c r="AB132" s="135"/>
      <c r="AC132" s="135"/>
      <c r="AD132" s="135"/>
      <c r="AE132" s="135"/>
      <c r="AF132" s="135"/>
      <c r="AG132" s="135"/>
      <c r="AH132" s="135"/>
      <c r="AI132" s="135"/>
      <c r="AJ132" s="135"/>
      <c r="AK132" s="135"/>
      <c r="AL132" s="135"/>
      <c r="AM132" s="135"/>
      <c r="AN132" s="32"/>
      <c r="AO132" s="110"/>
      <c r="AP132" s="110"/>
      <c r="AQ132" s="110"/>
      <c r="AR132" s="108"/>
      <c r="AS132" s="108"/>
      <c r="AT132" s="108"/>
      <c r="AU132" s="108"/>
      <c r="AV132" s="108"/>
      <c r="AW132" s="108"/>
      <c r="AX132" s="108"/>
      <c r="AY132" s="108"/>
      <c r="AZ132" s="108"/>
      <c r="BA132" s="108"/>
      <c r="BB132" s="108"/>
      <c r="BC132" s="108"/>
      <c r="BD132" s="108"/>
      <c r="BE132" s="108"/>
      <c r="BF132" s="136"/>
      <c r="BG132" s="108"/>
      <c r="BH132" s="108"/>
      <c r="BI132" s="108"/>
      <c r="BJ132" s="108"/>
      <c r="BK132" s="108"/>
      <c r="BL132" s="108"/>
      <c r="BM132" s="108"/>
      <c r="BN132" s="108"/>
      <c r="BO132" s="108"/>
      <c r="BP132" s="108"/>
      <c r="BQ132" s="108"/>
      <c r="BR132" s="108"/>
      <c r="BS132" s="108"/>
      <c r="BT132" s="32"/>
      <c r="BU132" s="32"/>
    </row>
  </sheetData>
  <sheetProtection password="80FD" sheet="1" objects="1" scenarios="1"/>
  <conditionalFormatting sqref="D81:D83 I59:I67 I88 J82:J85 I72:I75 D72:D77 D88 J78:J79 D59:D66 I81:I82">
    <cfRule type="expression" priority="1" dxfId="0" stopIfTrue="1">
      <formula>0</formula>
    </cfRule>
  </conditionalFormatting>
  <conditionalFormatting sqref="H67:H68 H56:H58 I7:I54">
    <cfRule type="cellIs" priority="2" dxfId="1" operator="equal" stopIfTrue="1">
      <formula>5</formula>
    </cfRule>
  </conditionalFormatting>
  <printOptions/>
  <pageMargins left="0.75" right="0.75" top="1" bottom="1" header="0.5" footer="0.5"/>
  <pageSetup horizontalDpi="300" verticalDpi="300" orientation="portrait" r:id="rId2"/>
  <ignoredErrors>
    <ignoredError sqref="H73:H74 E73:E74" formula="1"/>
  </ignoredErrors>
  <drawing r:id="rId1"/>
</worksheet>
</file>

<file path=xl/worksheets/sheet2.xml><?xml version="1.0" encoding="utf-8"?>
<worksheet xmlns="http://schemas.openxmlformats.org/spreadsheetml/2006/main" xmlns:r="http://schemas.openxmlformats.org/officeDocument/2006/relationships">
  <sheetPr>
    <tabColor indexed="50"/>
  </sheetPr>
  <dimension ref="A1:BR132"/>
  <sheetViews>
    <sheetView showGridLines="0" showRowColHeaders="0" zoomScale="75" zoomScaleNormal="75" workbookViewId="0" topLeftCell="A1">
      <selection activeCell="BM9" sqref="BM9"/>
    </sheetView>
  </sheetViews>
  <sheetFormatPr defaultColWidth="9.140625" defaultRowHeight="12.75"/>
  <cols>
    <col min="1" max="1" width="3.28125" style="0" customWidth="1"/>
    <col min="2" max="2" width="9.00390625" style="12" customWidth="1"/>
    <col min="3" max="3" width="9.28125" style="12" bestFit="1" customWidth="1"/>
    <col min="4" max="4" width="3.28125" style="12" customWidth="1"/>
    <col min="5" max="5" width="17.57421875" style="31" customWidth="1"/>
    <col min="6" max="6" width="3.57421875" style="12" customWidth="1"/>
    <col min="7" max="7" width="3.421875" style="12" customWidth="1"/>
    <col min="8" max="8" width="17.7109375" style="162" customWidth="1"/>
    <col min="9" max="9" width="12.00390625" style="12" customWidth="1"/>
    <col min="10" max="10" width="5.140625" style="12" customWidth="1"/>
    <col min="11" max="11" width="19.8515625" style="12" customWidth="1"/>
    <col min="12" max="19" width="3.57421875" style="12" customWidth="1"/>
    <col min="20" max="20" width="15.57421875" style="12" customWidth="1"/>
    <col min="21" max="21" width="3.00390625" style="88" customWidth="1"/>
    <col min="22" max="22" width="24.7109375" style="219" customWidth="1"/>
    <col min="23" max="23" width="2.421875" style="12" customWidth="1"/>
    <col min="24" max="24" width="12.140625" style="112" hidden="1" customWidth="1"/>
    <col min="25" max="26" width="2.421875" style="112" hidden="1" customWidth="1"/>
    <col min="27" max="31" width="13.8515625" style="112" hidden="1" customWidth="1"/>
    <col min="32" max="32" width="16.28125" style="112" hidden="1" customWidth="1"/>
    <col min="33" max="33" width="3.57421875" style="112" hidden="1" customWidth="1"/>
    <col min="34" max="34" width="3.8515625" style="112" hidden="1" customWidth="1"/>
    <col min="35" max="39" width="13.8515625" style="112" hidden="1" customWidth="1"/>
    <col min="40" max="43" width="9.7109375" style="112" hidden="1" customWidth="1"/>
    <col min="44" max="44" width="17.140625" style="112" hidden="1" customWidth="1"/>
    <col min="45" max="45" width="5.140625" style="112" hidden="1" customWidth="1"/>
    <col min="46" max="46" width="5.7109375" style="112" hidden="1" customWidth="1"/>
    <col min="47" max="47" width="4.7109375" style="112" hidden="1" customWidth="1"/>
    <col min="48" max="48" width="4.140625" style="112" hidden="1" customWidth="1"/>
    <col min="49" max="50" width="4.8515625" style="112" hidden="1" customWidth="1"/>
    <col min="51" max="51" width="4.00390625" style="112" hidden="1" customWidth="1"/>
    <col min="52" max="52" width="4.57421875" style="112" hidden="1" customWidth="1"/>
    <col min="53" max="55" width="4.7109375" style="112" hidden="1" customWidth="1"/>
    <col min="56" max="58" width="13.8515625" style="112" hidden="1" customWidth="1"/>
    <col min="59" max="59" width="13.8515625" style="112" customWidth="1"/>
    <col min="60" max="67" width="4.28125" style="112" customWidth="1"/>
    <col min="68" max="70" width="13.8515625" style="112" customWidth="1"/>
  </cols>
  <sheetData>
    <row r="1" spans="2:70" ht="46.5" thickBot="1">
      <c r="B1" s="210">
        <f>IF(DAYS360(X3,X2)&gt;0,DAYS360(X3,X2),0)</f>
        <v>15</v>
      </c>
      <c r="C1" s="1"/>
      <c r="D1" s="1"/>
      <c r="E1" s="3"/>
      <c r="F1" s="1"/>
      <c r="G1" s="4"/>
      <c r="H1" s="192" t="s">
        <v>50</v>
      </c>
      <c r="I1" s="5"/>
      <c r="J1" s="5"/>
      <c r="K1" s="5"/>
      <c r="L1" s="4"/>
      <c r="M1" s="4"/>
      <c r="N1" s="4"/>
      <c r="O1" s="4"/>
      <c r="P1" s="4"/>
      <c r="Q1" s="4"/>
      <c r="R1" s="4"/>
      <c r="S1" s="4"/>
      <c r="T1" s="6"/>
      <c r="U1" s="6"/>
      <c r="V1" s="7" t="s">
        <v>0</v>
      </c>
      <c r="W1" s="4"/>
      <c r="X1" s="18"/>
      <c r="Y1" s="32"/>
      <c r="Z1" s="32"/>
      <c r="AA1" s="108"/>
      <c r="AB1" s="135"/>
      <c r="AC1" s="135"/>
      <c r="AD1" s="135"/>
      <c r="AE1" s="135"/>
      <c r="AF1" s="135"/>
      <c r="AG1" s="135"/>
      <c r="AH1" s="135"/>
      <c r="AI1" s="135"/>
      <c r="AJ1" s="135"/>
      <c r="AK1" s="135"/>
      <c r="AL1" s="135"/>
      <c r="AM1" s="135"/>
      <c r="AN1" s="108"/>
      <c r="AO1" s="108"/>
      <c r="AP1" s="108"/>
      <c r="AQ1" s="108"/>
      <c r="AR1" s="109"/>
      <c r="AS1" s="108"/>
      <c r="AT1" s="108"/>
      <c r="AU1" s="108"/>
      <c r="AV1" s="108"/>
      <c r="AW1" s="108"/>
      <c r="AX1" s="108"/>
      <c r="AY1" s="108"/>
      <c r="AZ1" s="108"/>
      <c r="BA1" s="108"/>
      <c r="BB1" s="108"/>
      <c r="BC1" s="108"/>
      <c r="BD1" s="108"/>
      <c r="BE1" s="108"/>
      <c r="BF1" s="136"/>
      <c r="BG1" s="108"/>
      <c r="BH1" s="108"/>
      <c r="BI1" s="110"/>
      <c r="BJ1" s="110"/>
      <c r="BK1" s="110"/>
      <c r="BL1" s="110"/>
      <c r="BM1" s="110"/>
      <c r="BN1" s="110"/>
      <c r="BO1" s="110"/>
      <c r="BP1" s="110"/>
      <c r="BQ1" s="109"/>
      <c r="BR1" s="109"/>
    </row>
    <row r="2" spans="2:70" ht="30.75" customHeight="1" thickBot="1">
      <c r="B2" s="79" t="s">
        <v>1</v>
      </c>
      <c r="C2" s="13"/>
      <c r="D2" s="13"/>
      <c r="E2" s="14"/>
      <c r="F2" s="13"/>
      <c r="G2" s="13"/>
      <c r="H2" s="97" t="s">
        <v>51</v>
      </c>
      <c r="I2" s="15"/>
      <c r="J2" s="5"/>
      <c r="K2" s="5"/>
      <c r="L2" s="104"/>
      <c r="M2" s="105"/>
      <c r="N2" s="105"/>
      <c r="O2" s="107"/>
      <c r="P2" s="105"/>
      <c r="Q2" s="107"/>
      <c r="R2" s="117" t="str">
        <f>'Your Predictions'!R2</f>
        <v>Your Points So Far:</v>
      </c>
      <c r="S2" s="106"/>
      <c r="T2" s="125">
        <f>'Your Predictions'!T2</f>
        <v>0</v>
      </c>
      <c r="U2" s="74"/>
      <c r="V2" s="4"/>
      <c r="W2" s="4"/>
      <c r="X2" s="16">
        <v>38877</v>
      </c>
      <c r="Y2" s="32"/>
      <c r="Z2" s="32"/>
      <c r="AA2" s="108"/>
      <c r="AB2" s="135"/>
      <c r="AC2" s="135"/>
      <c r="AD2" s="135"/>
      <c r="AE2" s="135"/>
      <c r="AF2" s="135"/>
      <c r="AG2" s="135"/>
      <c r="AH2" s="135"/>
      <c r="AI2" s="135"/>
      <c r="AJ2" s="135"/>
      <c r="AK2" s="135"/>
      <c r="AL2" s="135"/>
      <c r="AM2" s="135"/>
      <c r="AN2" s="108"/>
      <c r="AO2" s="108"/>
      <c r="AP2" s="108"/>
      <c r="AQ2" s="108"/>
      <c r="AR2" s="137"/>
      <c r="AS2" s="108"/>
      <c r="AT2" s="108"/>
      <c r="AU2" s="108"/>
      <c r="AV2" s="108"/>
      <c r="AW2" s="108"/>
      <c r="AX2" s="108"/>
      <c r="AY2" s="108"/>
      <c r="AZ2" s="108"/>
      <c r="BA2" s="108"/>
      <c r="BB2" s="108"/>
      <c r="BC2" s="108"/>
      <c r="BD2" s="108"/>
      <c r="BE2" s="108"/>
      <c r="BF2" s="136"/>
      <c r="BG2" s="108"/>
      <c r="BH2" s="108"/>
      <c r="BI2" s="110"/>
      <c r="BJ2" s="110"/>
      <c r="BK2" s="110"/>
      <c r="BL2" s="110"/>
      <c r="BM2" s="110"/>
      <c r="BN2" s="110"/>
      <c r="BO2" s="110"/>
      <c r="BP2" s="110"/>
      <c r="BQ2" s="109"/>
      <c r="BR2" s="109"/>
    </row>
    <row r="3" spans="3:70" ht="25.5">
      <c r="C3" s="13"/>
      <c r="D3" s="13"/>
      <c r="E3" s="14"/>
      <c r="F3" s="13"/>
      <c r="G3" s="13"/>
      <c r="H3" s="124" t="s">
        <v>98</v>
      </c>
      <c r="I3" s="17"/>
      <c r="J3" s="5"/>
      <c r="K3" s="5"/>
      <c r="L3" s="4"/>
      <c r="M3" s="4"/>
      <c r="N3" s="4"/>
      <c r="O3" s="4"/>
      <c r="P3" s="4"/>
      <c r="Q3" s="133" t="s">
        <v>2</v>
      </c>
      <c r="S3" s="4"/>
      <c r="U3" s="6"/>
      <c r="V3" s="6"/>
      <c r="W3" s="4"/>
      <c r="X3" s="16">
        <f ca="1">TODAY()</f>
        <v>38861</v>
      </c>
      <c r="Y3" s="32"/>
      <c r="Z3" s="32"/>
      <c r="AA3" s="108"/>
      <c r="AB3" s="135"/>
      <c r="AC3" s="135"/>
      <c r="AD3" s="135"/>
      <c r="AE3" s="135"/>
      <c r="AF3" s="135"/>
      <c r="AG3" s="135"/>
      <c r="AH3" s="135"/>
      <c r="AI3" s="135"/>
      <c r="AJ3" s="135"/>
      <c r="AK3" s="135"/>
      <c r="AL3" s="135"/>
      <c r="AM3" s="135"/>
      <c r="AN3" s="108"/>
      <c r="AO3" s="108"/>
      <c r="AP3" s="108"/>
      <c r="AQ3" s="108"/>
      <c r="AR3" s="137"/>
      <c r="AS3" s="108"/>
      <c r="AT3" s="108"/>
      <c r="AU3" s="108"/>
      <c r="AV3" s="108"/>
      <c r="AW3" s="108"/>
      <c r="AX3" s="108"/>
      <c r="AY3" s="108"/>
      <c r="AZ3" s="108"/>
      <c r="BA3" s="108"/>
      <c r="BB3" s="108"/>
      <c r="BC3" s="108"/>
      <c r="BD3" s="108"/>
      <c r="BE3" s="108"/>
      <c r="BF3" s="136"/>
      <c r="BG3" s="108"/>
      <c r="BH3" s="108"/>
      <c r="BI3" s="110"/>
      <c r="BJ3" s="110"/>
      <c r="BK3" s="110"/>
      <c r="BL3" s="110"/>
      <c r="BM3" s="110"/>
      <c r="BN3" s="110"/>
      <c r="BO3" s="110"/>
      <c r="BP3" s="110"/>
      <c r="BQ3" s="109"/>
      <c r="BR3" s="109"/>
    </row>
    <row r="4" spans="2:70" ht="13.5">
      <c r="B4" s="2"/>
      <c r="C4" s="1"/>
      <c r="D4" s="1"/>
      <c r="E4" s="3"/>
      <c r="F4" s="1"/>
      <c r="G4" s="4"/>
      <c r="H4" s="167"/>
      <c r="I4" s="4" t="s">
        <v>44</v>
      </c>
      <c r="J4" s="5"/>
      <c r="K4" s="5"/>
      <c r="L4" s="4"/>
      <c r="M4" s="4"/>
      <c r="N4" s="4"/>
      <c r="O4" s="4"/>
      <c r="P4" s="4"/>
      <c r="Q4" s="4"/>
      <c r="R4" s="4"/>
      <c r="S4" s="4"/>
      <c r="T4" s="4" t="s">
        <v>45</v>
      </c>
      <c r="U4" s="4"/>
      <c r="V4" s="4"/>
      <c r="W4" s="4"/>
      <c r="X4" s="18"/>
      <c r="Y4" s="32"/>
      <c r="Z4" s="32"/>
      <c r="AA4" s="108"/>
      <c r="AB4" s="135"/>
      <c r="AC4" s="135"/>
      <c r="AD4" s="135" t="s">
        <v>42</v>
      </c>
      <c r="AE4" s="135"/>
      <c r="AF4" s="135"/>
      <c r="AG4" s="135"/>
      <c r="AH4" s="135"/>
      <c r="AI4" s="135"/>
      <c r="AJ4" s="135"/>
      <c r="AK4" s="135"/>
      <c r="AL4" s="135"/>
      <c r="AM4" s="135"/>
      <c r="AN4" s="108"/>
      <c r="AO4" s="108"/>
      <c r="AP4" s="108"/>
      <c r="AQ4" s="108"/>
      <c r="AR4" s="137"/>
      <c r="AS4" s="108"/>
      <c r="AT4" s="108"/>
      <c r="AU4" s="108"/>
      <c r="AV4" s="108"/>
      <c r="AW4" s="108"/>
      <c r="AX4" s="108"/>
      <c r="AY4" s="108"/>
      <c r="AZ4" s="108"/>
      <c r="BA4" s="108"/>
      <c r="BB4" s="108"/>
      <c r="BC4" s="108"/>
      <c r="BD4" s="108"/>
      <c r="BE4" s="108"/>
      <c r="BF4" s="136"/>
      <c r="BG4" s="108"/>
      <c r="BH4" s="108"/>
      <c r="BI4" s="110"/>
      <c r="BJ4" s="110"/>
      <c r="BK4" s="110"/>
      <c r="BL4" s="110"/>
      <c r="BM4" s="110"/>
      <c r="BN4" s="110"/>
      <c r="BO4" s="110"/>
      <c r="BP4" s="110"/>
      <c r="BQ4" s="109"/>
      <c r="BR4" s="109"/>
    </row>
    <row r="5" spans="2:70" ht="18.75">
      <c r="B5" s="90" t="s">
        <v>3</v>
      </c>
      <c r="C5" s="91"/>
      <c r="D5" s="92"/>
      <c r="E5" s="93"/>
      <c r="F5" s="91"/>
      <c r="G5" s="91"/>
      <c r="H5" s="169"/>
      <c r="I5" s="94">
        <f>SUM(I7:I54)</f>
        <v>0</v>
      </c>
      <c r="J5" s="95"/>
      <c r="K5" s="90" t="s">
        <v>4</v>
      </c>
      <c r="L5" s="91"/>
      <c r="M5" s="96"/>
      <c r="N5" s="92"/>
      <c r="O5" s="94"/>
      <c r="P5" s="91"/>
      <c r="Q5" s="91"/>
      <c r="R5" s="91"/>
      <c r="S5" s="91"/>
      <c r="T5" s="94">
        <f>SUM(T6:T52)</f>
        <v>0</v>
      </c>
      <c r="U5" s="74"/>
      <c r="V5" s="12"/>
      <c r="W5" s="4"/>
      <c r="X5" s="18"/>
      <c r="Y5" s="32"/>
      <c r="Z5" s="32"/>
      <c r="AA5" s="108"/>
      <c r="AB5" s="135"/>
      <c r="AC5" s="135"/>
      <c r="AD5" s="209">
        <f>COUNT(AD7:AD54)</f>
        <v>0</v>
      </c>
      <c r="AE5" s="135"/>
      <c r="AF5" s="135"/>
      <c r="AG5" s="135"/>
      <c r="AH5" s="135"/>
      <c r="AI5" s="135"/>
      <c r="AJ5" s="135"/>
      <c r="AK5" s="135"/>
      <c r="AL5" s="135"/>
      <c r="AM5" s="135"/>
      <c r="AN5" s="108"/>
      <c r="AO5" s="108"/>
      <c r="AP5" s="108"/>
      <c r="AQ5" s="108"/>
      <c r="AR5" s="108"/>
      <c r="AS5" s="108"/>
      <c r="AT5" s="108"/>
      <c r="AU5" s="108"/>
      <c r="AV5" s="108"/>
      <c r="AW5" s="108"/>
      <c r="AX5" s="108"/>
      <c r="AY5" s="108"/>
      <c r="AZ5" s="108"/>
      <c r="BA5" s="108"/>
      <c r="BB5" s="108"/>
      <c r="BC5" s="108"/>
      <c r="BD5" s="108"/>
      <c r="BE5" s="108"/>
      <c r="BF5" s="136"/>
      <c r="BG5" s="108"/>
      <c r="BH5" s="108"/>
      <c r="BI5" s="110"/>
      <c r="BJ5" s="110"/>
      <c r="BK5" s="110"/>
      <c r="BL5" s="110"/>
      <c r="BM5" s="110"/>
      <c r="BN5" s="110"/>
      <c r="BO5" s="110"/>
      <c r="BP5" s="110"/>
      <c r="BQ5" s="110"/>
      <c r="BR5" s="110"/>
    </row>
    <row r="6" spans="2:70" ht="17.25" thickBot="1">
      <c r="B6" s="126"/>
      <c r="C6" s="127" t="s">
        <v>5</v>
      </c>
      <c r="D6" s="127"/>
      <c r="E6" s="128"/>
      <c r="F6" s="127"/>
      <c r="G6" s="127"/>
      <c r="H6" s="193"/>
      <c r="I6" s="53"/>
      <c r="J6" s="22"/>
      <c r="K6" s="127" t="s">
        <v>6</v>
      </c>
      <c r="L6" s="129" t="s">
        <v>7</v>
      </c>
      <c r="M6" s="129" t="s">
        <v>8</v>
      </c>
      <c r="N6" s="129" t="s">
        <v>9</v>
      </c>
      <c r="O6" s="129" t="s">
        <v>10</v>
      </c>
      <c r="P6" s="129" t="s">
        <v>11</v>
      </c>
      <c r="Q6" s="129" t="s">
        <v>12</v>
      </c>
      <c r="R6" s="129" t="s">
        <v>13</v>
      </c>
      <c r="S6" s="129" t="s">
        <v>14</v>
      </c>
      <c r="T6" s="6"/>
      <c r="U6" s="6"/>
      <c r="V6" s="89"/>
      <c r="W6" s="23"/>
      <c r="X6" s="24"/>
      <c r="Y6" s="24"/>
      <c r="Z6" s="113"/>
      <c r="AA6" s="110"/>
      <c r="AC6" s="138" t="s">
        <v>40</v>
      </c>
      <c r="AD6" s="112" t="s">
        <v>41</v>
      </c>
      <c r="AE6" s="138" t="s">
        <v>91</v>
      </c>
      <c r="AF6" s="138"/>
      <c r="AG6" s="138"/>
      <c r="AH6" s="138"/>
      <c r="AI6" s="135"/>
      <c r="AJ6" s="135"/>
      <c r="AK6" s="135" t="s">
        <v>15</v>
      </c>
      <c r="AL6" s="135" t="s">
        <v>16</v>
      </c>
      <c r="AM6" s="135"/>
      <c r="AN6" s="108"/>
      <c r="AO6" s="108"/>
      <c r="AP6" s="108"/>
      <c r="AQ6" s="108"/>
      <c r="AR6" s="143" t="s">
        <v>6</v>
      </c>
      <c r="AS6" s="108" t="s">
        <v>7</v>
      </c>
      <c r="AT6" s="108" t="s">
        <v>8</v>
      </c>
      <c r="AU6" s="108" t="s">
        <v>9</v>
      </c>
      <c r="AV6" s="108" t="s">
        <v>10</v>
      </c>
      <c r="AW6" s="108" t="s">
        <v>11</v>
      </c>
      <c r="AX6" s="108" t="s">
        <v>12</v>
      </c>
      <c r="AY6" s="108" t="s">
        <v>17</v>
      </c>
      <c r="AZ6" s="108" t="s">
        <v>14</v>
      </c>
      <c r="BA6" s="108"/>
      <c r="BB6" s="108"/>
      <c r="BC6" s="108"/>
      <c r="BD6" s="108"/>
      <c r="BE6" s="108"/>
      <c r="BF6" s="136"/>
      <c r="BG6" s="108"/>
      <c r="BH6" s="108"/>
      <c r="BI6" s="110"/>
      <c r="BJ6" s="110"/>
      <c r="BK6" s="110"/>
      <c r="BL6" s="110"/>
      <c r="BM6" s="110"/>
      <c r="BN6" s="110"/>
      <c r="BO6" s="110"/>
      <c r="BP6" s="110"/>
      <c r="BQ6" s="110"/>
      <c r="BR6" s="110"/>
    </row>
    <row r="7" spans="2:70" ht="18.75" thickBot="1">
      <c r="B7" s="80" t="s">
        <v>73</v>
      </c>
      <c r="C7" s="80">
        <v>38512</v>
      </c>
      <c r="D7" s="30"/>
      <c r="E7" s="31" t="s">
        <v>28</v>
      </c>
      <c r="F7" s="78"/>
      <c r="G7" s="78"/>
      <c r="H7" s="162" t="s">
        <v>52</v>
      </c>
      <c r="I7" s="212">
        <f>'Your Predictions'!I7</f>
      </c>
      <c r="J7" s="26"/>
      <c r="K7" s="27" t="str">
        <f>VLOOKUP(BF7,BD7:BE10,2,FALSE)</f>
        <v>Costa Rica</v>
      </c>
      <c r="L7" s="2">
        <f>VLOOKUP(K7,AR7:AZ10,2,FALSE)</f>
        <v>0</v>
      </c>
      <c r="M7" s="2">
        <f>VLOOKUP(K7,AR7:AZ10,3,FALSE)</f>
        <v>0</v>
      </c>
      <c r="N7" s="2">
        <f>VLOOKUP(K7,AR7:AZ10,4,FALSE)</f>
        <v>0</v>
      </c>
      <c r="O7" s="2">
        <f>VLOOKUP(K7,AR7:AZ10,5,FALSE)</f>
        <v>0</v>
      </c>
      <c r="P7" s="2">
        <f>VLOOKUP(K7,AR7:AZ10,6,FALSE)</f>
        <v>0</v>
      </c>
      <c r="Q7" s="2">
        <f>VLOOKUP(K7,AR7:AZ10,7,FALSE)</f>
        <v>0</v>
      </c>
      <c r="R7" s="2">
        <f>VLOOKUP(K7,AR7:AZ10,8,FALSE)</f>
        <v>0</v>
      </c>
      <c r="S7" s="2">
        <f>VLOOKUP(K7,AR7:AZ10,9,FALSE)</f>
        <v>0</v>
      </c>
      <c r="T7" s="212">
        <f>'Your Predictions'!T7</f>
      </c>
      <c r="U7" s="84"/>
      <c r="V7" s="134" t="s">
        <v>49</v>
      </c>
      <c r="W7" s="28"/>
      <c r="X7" s="111"/>
      <c r="Y7" s="111"/>
      <c r="Z7" s="113"/>
      <c r="AB7" s="112">
        <v>1</v>
      </c>
      <c r="AC7" s="138">
        <f>SUM($F$7:G7)</f>
        <v>0</v>
      </c>
      <c r="AD7" s="138">
        <f>IF(F7="","",ABS(AC7-'Your Predictions'!AC7))</f>
      </c>
      <c r="AE7" s="209">
        <f>AC54</f>
        <v>0</v>
      </c>
      <c r="AF7" s="110">
        <f aca="true" t="shared" si="0" ref="AF7:AF54">IF(ISBLANK(F7),"",E7)</f>
      </c>
      <c r="AG7" s="138">
        <f aca="true" t="shared" si="1" ref="AG7:AG54">IF(ISBLANK(G7:H7),"",F7)</f>
        <v>0</v>
      </c>
      <c r="AH7" s="138">
        <f aca="true" t="shared" si="2" ref="AH7:AH54">IF(ISBLANK(J7:AG7),"",G7)</f>
        <v>0</v>
      </c>
      <c r="AI7" s="138">
        <f aca="true" t="shared" si="3" ref="AI7:AI54">IF(ISBLANK(G7),"",H7)</f>
      </c>
      <c r="AJ7" s="138"/>
      <c r="AK7" s="138" t="str">
        <f aca="true" t="shared" si="4" ref="AK7:AK54">IF(AG7&gt;AH7,AF7,IF(AH7&gt;AG7,AI7,"draw"))</f>
        <v>draw</v>
      </c>
      <c r="AL7" s="110" t="str">
        <f aca="true" t="shared" si="5" ref="AL7:AL54">IF(AG7&lt;AH7,AF7,IF(AH7&lt;AG7,AI7,"draw"))</f>
        <v>draw</v>
      </c>
      <c r="AM7" s="138"/>
      <c r="AN7" s="139"/>
      <c r="AO7" s="139"/>
      <c r="AP7" s="139"/>
      <c r="AQ7" s="139"/>
      <c r="AR7" s="140" t="s">
        <v>28</v>
      </c>
      <c r="AS7" s="110">
        <f>COUNTIF($AF$7:$AI$54,AR7)</f>
        <v>0</v>
      </c>
      <c r="AT7" s="108">
        <f>COUNTIF(winners,AR7)</f>
        <v>0</v>
      </c>
      <c r="AU7" s="108">
        <f>AS7-(AT7+AV7)</f>
        <v>0</v>
      </c>
      <c r="AV7" s="108">
        <f>COUNTIF(losers,AR7)</f>
        <v>0</v>
      </c>
      <c r="AW7" s="108">
        <f>SUM(GermanyF)</f>
        <v>0</v>
      </c>
      <c r="AX7" s="108">
        <f>SUM(GermanyA)</f>
        <v>0</v>
      </c>
      <c r="AY7" s="108">
        <f>SUM(AW7-AX7)</f>
        <v>0</v>
      </c>
      <c r="AZ7" s="108">
        <f>SUM((AT7*3)+AU7)</f>
        <v>0</v>
      </c>
      <c r="BA7" s="108">
        <v>1</v>
      </c>
      <c r="BB7" s="108">
        <f>CODE(MID(AR7,2,1))</f>
        <v>101</v>
      </c>
      <c r="BC7" s="108">
        <f>CODE(AR7)</f>
        <v>71</v>
      </c>
      <c r="BD7" s="110">
        <f>SUM((AZ7*100)+(AY7*10)+(AW7)-(BC7/1000)-(BB7/10000)-(BA7/100000))</f>
        <v>-0.08110999999999999</v>
      </c>
      <c r="BE7" s="108" t="str">
        <f>AR7</f>
        <v>Germany</v>
      </c>
      <c r="BF7" s="141">
        <f>LARGE(BD7:BD10,1)</f>
        <v>-0.07812000000000001</v>
      </c>
      <c r="BG7" s="110"/>
      <c r="BH7" s="110"/>
      <c r="BI7" s="110"/>
      <c r="BJ7" s="110"/>
      <c r="BK7" s="110"/>
      <c r="BL7" s="110"/>
      <c r="BM7" s="110"/>
      <c r="BN7" s="110"/>
      <c r="BO7" s="110"/>
      <c r="BP7" s="110"/>
      <c r="BQ7" s="110"/>
      <c r="BR7" s="110"/>
    </row>
    <row r="8" spans="2:70" ht="16.5" thickBot="1">
      <c r="B8" s="80" t="s">
        <v>73</v>
      </c>
      <c r="C8" s="80">
        <v>38512</v>
      </c>
      <c r="D8" s="30"/>
      <c r="E8" s="31" t="s">
        <v>53</v>
      </c>
      <c r="F8" s="78"/>
      <c r="G8" s="78"/>
      <c r="H8" s="162" t="s">
        <v>54</v>
      </c>
      <c r="I8" s="212">
        <f>'Your Predictions'!I8</f>
      </c>
      <c r="J8" s="32"/>
      <c r="K8" s="27" t="str">
        <f>VLOOKUP(BF8,BD7:BE10,2,FALSE)</f>
        <v>Ecuador</v>
      </c>
      <c r="L8" s="2">
        <f>VLOOKUP(K8,AR7:AZ10,2,FALSE)</f>
        <v>0</v>
      </c>
      <c r="M8" s="2">
        <f>VLOOKUP(K8,AR7:AZ10,3,FALSE)</f>
        <v>0</v>
      </c>
      <c r="N8" s="2">
        <f>VLOOKUP(K8,AR7:AZ10,4,FALSE)</f>
        <v>0</v>
      </c>
      <c r="O8" s="2">
        <f>VLOOKUP(K8,AR7:AZ10,5,FALSE)</f>
        <v>0</v>
      </c>
      <c r="P8" s="2">
        <f>VLOOKUP(K8,AR7:AZ10,6,FALSE)</f>
        <v>0</v>
      </c>
      <c r="Q8" s="2">
        <f>VLOOKUP(K8,AR7:AZ10,7,FALSE)</f>
        <v>0</v>
      </c>
      <c r="R8" s="2">
        <f>VLOOKUP(K8,AR7:AZ10,8,FALSE)</f>
        <v>0</v>
      </c>
      <c r="S8" s="2">
        <f>VLOOKUP(K8,AR7:AZ10,9,FALSE)</f>
        <v>0</v>
      </c>
      <c r="T8" s="212">
        <f>'Your Predictions'!T8</f>
      </c>
      <c r="U8" s="84"/>
      <c r="V8" s="122"/>
      <c r="W8" s="33"/>
      <c r="X8" s="142"/>
      <c r="Y8" s="24"/>
      <c r="Z8" s="113"/>
      <c r="AB8" s="112">
        <v>2</v>
      </c>
      <c r="AC8" s="138">
        <f>SUM($F$7:G8)</f>
        <v>0</v>
      </c>
      <c r="AD8" s="138">
        <f>IF(F8="","",ABS(AC8-'Your Predictions'!AC8))</f>
      </c>
      <c r="AE8" s="138"/>
      <c r="AF8" s="110">
        <f t="shared" si="0"/>
      </c>
      <c r="AG8" s="138">
        <f t="shared" si="1"/>
        <v>0</v>
      </c>
      <c r="AH8" s="138">
        <f t="shared" si="2"/>
        <v>0</v>
      </c>
      <c r="AI8" s="138">
        <f t="shared" si="3"/>
      </c>
      <c r="AJ8" s="138"/>
      <c r="AK8" s="138" t="str">
        <f t="shared" si="4"/>
        <v>draw</v>
      </c>
      <c r="AL8" s="110" t="str">
        <f t="shared" si="5"/>
        <v>draw</v>
      </c>
      <c r="AM8" s="138"/>
      <c r="AN8" s="139"/>
      <c r="AO8" s="139"/>
      <c r="AP8" s="139"/>
      <c r="AQ8" s="139"/>
      <c r="AR8" s="140" t="s">
        <v>52</v>
      </c>
      <c r="AS8" s="110">
        <f>COUNTIF($AF$7:$AI$54,AR8)</f>
        <v>0</v>
      </c>
      <c r="AT8" s="108">
        <f>COUNTIF(winners,AR8)</f>
        <v>0</v>
      </c>
      <c r="AU8" s="108">
        <f>AS8-(AT8+AV8)</f>
        <v>0</v>
      </c>
      <c r="AV8" s="108">
        <f>COUNTIF(losers,AR8)</f>
        <v>0</v>
      </c>
      <c r="AW8" s="108">
        <f>SUM(CosF)</f>
        <v>0</v>
      </c>
      <c r="AX8" s="108">
        <f>SUM(CosA)</f>
        <v>0</v>
      </c>
      <c r="AY8" s="108">
        <f>SUM(AW8-AX8)</f>
        <v>0</v>
      </c>
      <c r="AZ8" s="108">
        <f>SUM((AT8*3)+AU8)</f>
        <v>0</v>
      </c>
      <c r="BA8" s="108">
        <v>2</v>
      </c>
      <c r="BB8" s="108">
        <f>CODE(MID(AR8,2,1))</f>
        <v>111</v>
      </c>
      <c r="BC8" s="108">
        <f>CODE(AR8)</f>
        <v>67</v>
      </c>
      <c r="BD8" s="110">
        <f>SUM((AZ8*100)+(AY8*10)+(AW8)-(BC8/1000)-(BB8/10000)-(BA8/100000))</f>
        <v>-0.07812000000000001</v>
      </c>
      <c r="BE8" s="108" t="str">
        <f>AR8</f>
        <v>Costa Rica</v>
      </c>
      <c r="BF8" s="141">
        <f>LARGE(BD7:BD10,2)</f>
        <v>-0.07894000000000001</v>
      </c>
      <c r="BG8" s="110"/>
      <c r="BH8" s="110"/>
      <c r="BI8" s="110"/>
      <c r="BJ8" s="110"/>
      <c r="BK8" s="110"/>
      <c r="BL8" s="110"/>
      <c r="BM8" s="110"/>
      <c r="BN8" s="110"/>
      <c r="BO8" s="110"/>
      <c r="BP8" s="110"/>
      <c r="BQ8" s="110"/>
      <c r="BR8" s="110"/>
    </row>
    <row r="9" spans="2:70" ht="21" thickBot="1">
      <c r="B9" s="80" t="s">
        <v>74</v>
      </c>
      <c r="C9" s="80">
        <v>38513</v>
      </c>
      <c r="D9" s="30"/>
      <c r="E9" s="31" t="s">
        <v>23</v>
      </c>
      <c r="F9" s="78"/>
      <c r="G9" s="78"/>
      <c r="H9" s="162" t="s">
        <v>55</v>
      </c>
      <c r="I9" s="212">
        <f>'Your Predictions'!I9</f>
      </c>
      <c r="J9" s="26"/>
      <c r="K9" s="27" t="str">
        <f>VLOOKUP(BF9,BD7:BE10,2,FALSE)</f>
        <v>Germany</v>
      </c>
      <c r="L9" s="2">
        <f>VLOOKUP(K9,AR7:AZ10,2,FALSE)</f>
        <v>0</v>
      </c>
      <c r="M9" s="2">
        <f>VLOOKUP(K9,AR7:AZ10,3,FALSE)</f>
        <v>0</v>
      </c>
      <c r="N9" s="2">
        <f>VLOOKUP(K9,AR7:AZ10,4,FALSE)</f>
        <v>0</v>
      </c>
      <c r="O9" s="2">
        <f>VLOOKUP(K9,AR7:AZ10,5,FALSE)</f>
        <v>0</v>
      </c>
      <c r="P9" s="2">
        <f>VLOOKUP(K9,AR7:AZ10,6,FALSE)</f>
        <v>0</v>
      </c>
      <c r="Q9" s="2">
        <f>VLOOKUP(K9,AR7:AZ10,7,FALSE)</f>
        <v>0</v>
      </c>
      <c r="R9" s="2">
        <f>VLOOKUP(K9,AR7:AZ10,8,FALSE)</f>
        <v>0</v>
      </c>
      <c r="S9" s="2">
        <f>VLOOKUP(K9,AR7:AZ10,9,FALSE)</f>
        <v>0</v>
      </c>
      <c r="T9" s="212">
        <f>'Your Predictions'!T9</f>
      </c>
      <c r="U9" s="84"/>
      <c r="V9" s="131"/>
      <c r="W9" s="28"/>
      <c r="X9" s="111"/>
      <c r="Y9" s="113"/>
      <c r="Z9" s="113"/>
      <c r="AB9" s="112">
        <v>3</v>
      </c>
      <c r="AC9" s="138">
        <f>SUM($F$7:G9)</f>
        <v>0</v>
      </c>
      <c r="AD9" s="138">
        <f>IF(F9="","",ABS(AC9-'Your Predictions'!AC9))</f>
      </c>
      <c r="AE9" s="138"/>
      <c r="AF9" s="110">
        <f t="shared" si="0"/>
      </c>
      <c r="AG9" s="138">
        <f t="shared" si="1"/>
        <v>0</v>
      </c>
      <c r="AH9" s="138">
        <f t="shared" si="2"/>
        <v>0</v>
      </c>
      <c r="AI9" s="138">
        <f t="shared" si="3"/>
      </c>
      <c r="AJ9" s="138"/>
      <c r="AK9" s="138" t="str">
        <f t="shared" si="4"/>
        <v>draw</v>
      </c>
      <c r="AL9" s="110" t="str">
        <f t="shared" si="5"/>
        <v>draw</v>
      </c>
      <c r="AM9" s="138"/>
      <c r="AN9" s="139"/>
      <c r="AO9" s="139"/>
      <c r="AP9" s="139"/>
      <c r="AQ9" s="139"/>
      <c r="AR9" s="140" t="s">
        <v>53</v>
      </c>
      <c r="AS9" s="110">
        <f>COUNTIF($AF$7:$AI$54,AR9)</f>
        <v>0</v>
      </c>
      <c r="AT9" s="108">
        <f>COUNTIF(winners,AR9)</f>
        <v>0</v>
      </c>
      <c r="AU9" s="108">
        <f>AS9-(AT9+AV9)</f>
        <v>0</v>
      </c>
      <c r="AV9" s="108">
        <f>COUNTIF(losers,AR9)</f>
        <v>0</v>
      </c>
      <c r="AW9" s="108">
        <f>SUM(PolF)</f>
        <v>0</v>
      </c>
      <c r="AX9" s="108">
        <f>SUM(PolA)</f>
        <v>0</v>
      </c>
      <c r="AY9" s="108">
        <f>SUM(AW9-AX9)</f>
        <v>0</v>
      </c>
      <c r="AZ9" s="108">
        <f>SUM((AT9*3)+AU9)</f>
        <v>0</v>
      </c>
      <c r="BA9" s="108">
        <v>3</v>
      </c>
      <c r="BB9" s="108">
        <f>CODE(MID(AR9,2,1))</f>
        <v>111</v>
      </c>
      <c r="BC9" s="108">
        <f>CODE(AR9)</f>
        <v>80</v>
      </c>
      <c r="BD9" s="110">
        <f>SUM((AZ9*100)+(AY9*10)+(AW9)-(BC9/1000)-(BB9/10000)-(BA9/100000))</f>
        <v>-0.09113</v>
      </c>
      <c r="BE9" s="108" t="str">
        <f>AR9</f>
        <v>Poland</v>
      </c>
      <c r="BF9" s="141">
        <f>LARGE(BD7:BD10,3)</f>
        <v>-0.08110999999999999</v>
      </c>
      <c r="BG9" s="110"/>
      <c r="BH9" s="110"/>
      <c r="BI9" s="110"/>
      <c r="BJ9" s="110"/>
      <c r="BK9" s="110"/>
      <c r="BL9" s="110"/>
      <c r="BM9" s="110"/>
      <c r="BN9" s="110"/>
      <c r="BO9" s="110"/>
      <c r="BP9" s="110"/>
      <c r="BQ9" s="110"/>
      <c r="BR9" s="110"/>
    </row>
    <row r="10" spans="2:70" ht="16.5" thickBot="1">
      <c r="B10" s="80" t="s">
        <v>74</v>
      </c>
      <c r="C10" s="80">
        <v>38513</v>
      </c>
      <c r="D10" s="30"/>
      <c r="E10" s="31" t="s">
        <v>56</v>
      </c>
      <c r="F10" s="78"/>
      <c r="G10" s="78"/>
      <c r="H10" s="162" t="s">
        <v>26</v>
      </c>
      <c r="I10" s="212">
        <f>'Your Predictions'!I10</f>
      </c>
      <c r="J10" s="32"/>
      <c r="K10" s="27" t="str">
        <f>VLOOKUP(BF10,BD7:BE10,2,FALSE)</f>
        <v>Poland</v>
      </c>
      <c r="L10" s="2">
        <f>VLOOKUP(K10,AR7:AZ10,2,FALSE)</f>
        <v>0</v>
      </c>
      <c r="M10" s="2">
        <f>VLOOKUP(K10,AR7:AZ10,3,FALSE)</f>
        <v>0</v>
      </c>
      <c r="N10" s="2">
        <f>VLOOKUP(K10,AR7:AZ10,4,FALSE)</f>
        <v>0</v>
      </c>
      <c r="O10" s="2">
        <f>VLOOKUP(K10,AR7:AZ10,5,FALSE)</f>
        <v>0</v>
      </c>
      <c r="P10" s="2">
        <f>VLOOKUP(K10,AR7:AZ10,6,FALSE)</f>
        <v>0</v>
      </c>
      <c r="Q10" s="2">
        <f>VLOOKUP(K10,AR7:AZ10,7,FALSE)</f>
        <v>0</v>
      </c>
      <c r="R10" s="2">
        <f>VLOOKUP(K10,AR7:AZ10,8,FALSE)</f>
        <v>0</v>
      </c>
      <c r="S10" s="2">
        <f>VLOOKUP(K10,AR7:AZ10,9,FALSE)</f>
        <v>0</v>
      </c>
      <c r="T10" s="212">
        <f>'Your Predictions'!T10</f>
      </c>
      <c r="U10" s="84"/>
      <c r="V10" s="12"/>
      <c r="W10" s="28"/>
      <c r="X10" s="111"/>
      <c r="Y10" s="113"/>
      <c r="Z10" s="113"/>
      <c r="AB10" s="112">
        <v>4</v>
      </c>
      <c r="AC10" s="138">
        <f>SUM($F$7:G10)</f>
        <v>0</v>
      </c>
      <c r="AD10" s="138">
        <f>IF(F10="","",ABS(AC10-'Your Predictions'!AC10))</f>
      </c>
      <c r="AE10" s="138"/>
      <c r="AF10" s="110">
        <f t="shared" si="0"/>
      </c>
      <c r="AG10" s="138">
        <f t="shared" si="1"/>
        <v>0</v>
      </c>
      <c r="AH10" s="138">
        <f t="shared" si="2"/>
        <v>0</v>
      </c>
      <c r="AI10" s="138">
        <f t="shared" si="3"/>
      </c>
      <c r="AJ10" s="138"/>
      <c r="AK10" s="138" t="str">
        <f t="shared" si="4"/>
        <v>draw</v>
      </c>
      <c r="AL10" s="110" t="str">
        <f t="shared" si="5"/>
        <v>draw</v>
      </c>
      <c r="AM10" s="138"/>
      <c r="AN10" s="139"/>
      <c r="AO10" s="139"/>
      <c r="AP10" s="139"/>
      <c r="AQ10" s="139"/>
      <c r="AR10" s="140" t="s">
        <v>54</v>
      </c>
      <c r="AS10" s="110">
        <f>COUNTIF($AF$7:$AI$54,AR10)</f>
        <v>0</v>
      </c>
      <c r="AT10" s="108">
        <f>COUNTIF(winners,AR10)</f>
        <v>0</v>
      </c>
      <c r="AU10" s="108">
        <f>AS10-(AT10+AV10)</f>
        <v>0</v>
      </c>
      <c r="AV10" s="108">
        <f>COUNTIF(losers,AR10)</f>
        <v>0</v>
      </c>
      <c r="AW10" s="108">
        <f>SUM(EcuF)</f>
        <v>0</v>
      </c>
      <c r="AX10" s="108">
        <f>SUM(EcuA)</f>
        <v>0</v>
      </c>
      <c r="AY10" s="108">
        <f>SUM(AW10-AX10)</f>
        <v>0</v>
      </c>
      <c r="AZ10" s="108">
        <f>SUM((AT10*3)+AU10)</f>
        <v>0</v>
      </c>
      <c r="BA10" s="108">
        <v>4</v>
      </c>
      <c r="BB10" s="108">
        <f>CODE(MID(AR10,2,1))</f>
        <v>99</v>
      </c>
      <c r="BC10" s="108">
        <f>CODE(AR10)</f>
        <v>69</v>
      </c>
      <c r="BD10" s="110">
        <f>SUM((AZ10*100)+(AY10*10)+(AW10)-(BC10/1000)-(BB10/10000)-(BA10/100000))</f>
        <v>-0.07894000000000001</v>
      </c>
      <c r="BE10" s="108" t="str">
        <f>AR10</f>
        <v>Ecuador</v>
      </c>
      <c r="BF10" s="141">
        <f>LARGE(BD7:BD10,4)</f>
        <v>-0.09113</v>
      </c>
      <c r="BG10" s="110"/>
      <c r="BH10" s="110"/>
      <c r="BI10" s="110"/>
      <c r="BJ10" s="110"/>
      <c r="BK10" s="110"/>
      <c r="BL10" s="110"/>
      <c r="BM10" s="110"/>
      <c r="BN10" s="110"/>
      <c r="BO10" s="110"/>
      <c r="BP10" s="110"/>
      <c r="BQ10" s="110"/>
      <c r="BR10" s="110"/>
    </row>
    <row r="11" spans="2:70" ht="16.5" thickBot="1">
      <c r="B11" s="80" t="s">
        <v>74</v>
      </c>
      <c r="C11" s="80">
        <v>38513</v>
      </c>
      <c r="D11" s="30"/>
      <c r="E11" s="31" t="s">
        <v>72</v>
      </c>
      <c r="F11" s="78"/>
      <c r="G11" s="78"/>
      <c r="H11" s="162" t="s">
        <v>57</v>
      </c>
      <c r="I11" s="212">
        <f>'Your Predictions'!I11</f>
      </c>
      <c r="J11" s="34"/>
      <c r="K11" s="27"/>
      <c r="L11" s="2"/>
      <c r="M11" s="2"/>
      <c r="N11" s="2"/>
      <c r="O11" s="2"/>
      <c r="P11" s="2"/>
      <c r="Q11" s="2"/>
      <c r="R11" s="2"/>
      <c r="S11" s="2"/>
      <c r="T11" s="212"/>
      <c r="U11" s="85"/>
      <c r="V11" s="132" t="s">
        <v>48</v>
      </c>
      <c r="W11" s="28"/>
      <c r="X11" s="111"/>
      <c r="Y11" s="113"/>
      <c r="Z11" s="113"/>
      <c r="AB11" s="112">
        <v>5</v>
      </c>
      <c r="AC11" s="138">
        <f>SUM($F$7:G11)</f>
        <v>0</v>
      </c>
      <c r="AD11" s="138">
        <f>IF(F11="","",ABS(AC11-'Your Predictions'!AC11))</f>
      </c>
      <c r="AE11" s="138"/>
      <c r="AF11" s="110">
        <f t="shared" si="0"/>
      </c>
      <c r="AG11" s="138">
        <f t="shared" si="1"/>
        <v>0</v>
      </c>
      <c r="AH11" s="138">
        <f t="shared" si="2"/>
        <v>0</v>
      </c>
      <c r="AI11" s="138">
        <f t="shared" si="3"/>
      </c>
      <c r="AJ11" s="138"/>
      <c r="AK11" s="138" t="str">
        <f t="shared" si="4"/>
        <v>draw</v>
      </c>
      <c r="AL11" s="110" t="str">
        <f t="shared" si="5"/>
        <v>draw</v>
      </c>
      <c r="AM11" s="138"/>
      <c r="AN11" s="139"/>
      <c r="AO11" s="139"/>
      <c r="AP11" s="139"/>
      <c r="AQ11" s="139"/>
      <c r="AR11" s="108"/>
      <c r="AS11" s="110"/>
      <c r="AT11" s="108"/>
      <c r="AU11" s="108"/>
      <c r="AV11" s="108"/>
      <c r="AW11" s="108"/>
      <c r="AX11" s="108"/>
      <c r="AY11" s="108"/>
      <c r="AZ11" s="108"/>
      <c r="BA11" s="108"/>
      <c r="BB11" s="108"/>
      <c r="BC11" s="108"/>
      <c r="BD11" s="110"/>
      <c r="BE11" s="108"/>
      <c r="BF11" s="141"/>
      <c r="BG11" s="110"/>
      <c r="BH11" s="110"/>
      <c r="BI11" s="110"/>
      <c r="BJ11" s="110"/>
      <c r="BK11" s="110"/>
      <c r="BL11" s="110"/>
      <c r="BM11" s="110"/>
      <c r="BN11" s="110"/>
      <c r="BO11" s="110"/>
      <c r="BP11" s="110"/>
      <c r="BQ11" s="110"/>
      <c r="BR11" s="110"/>
    </row>
    <row r="12" spans="2:70" ht="16.5" thickBot="1">
      <c r="B12" s="80" t="s">
        <v>75</v>
      </c>
      <c r="C12" s="80">
        <v>38514</v>
      </c>
      <c r="D12" s="30"/>
      <c r="E12" s="31" t="s">
        <v>58</v>
      </c>
      <c r="F12" s="78"/>
      <c r="G12" s="78"/>
      <c r="H12" s="162" t="s">
        <v>59</v>
      </c>
      <c r="I12" s="212">
        <f>'Your Predictions'!I12</f>
      </c>
      <c r="J12" s="35"/>
      <c r="K12" s="127" t="s">
        <v>25</v>
      </c>
      <c r="L12" s="129" t="s">
        <v>7</v>
      </c>
      <c r="M12" s="129" t="s">
        <v>8</v>
      </c>
      <c r="N12" s="129" t="s">
        <v>9</v>
      </c>
      <c r="O12" s="129" t="s">
        <v>10</v>
      </c>
      <c r="P12" s="129" t="s">
        <v>11</v>
      </c>
      <c r="Q12" s="129" t="s">
        <v>12</v>
      </c>
      <c r="R12" s="129" t="s">
        <v>13</v>
      </c>
      <c r="S12" s="129" t="s">
        <v>14</v>
      </c>
      <c r="T12" s="212"/>
      <c r="U12" s="6"/>
      <c r="V12" s="223"/>
      <c r="W12" s="33"/>
      <c r="X12" s="142"/>
      <c r="Y12" s="113"/>
      <c r="Z12" s="113"/>
      <c r="AB12" s="112">
        <v>6</v>
      </c>
      <c r="AC12" s="138">
        <f>SUM($F$7:G12)</f>
        <v>0</v>
      </c>
      <c r="AD12" s="138">
        <f>IF(F12="","",ABS(AC12-'Your Predictions'!AC12))</f>
      </c>
      <c r="AE12" s="138"/>
      <c r="AF12" s="110">
        <f t="shared" si="0"/>
      </c>
      <c r="AG12" s="138">
        <f t="shared" si="1"/>
        <v>0</v>
      </c>
      <c r="AH12" s="138">
        <f t="shared" si="2"/>
        <v>0</v>
      </c>
      <c r="AI12" s="138">
        <f t="shared" si="3"/>
      </c>
      <c r="AJ12" s="138"/>
      <c r="AK12" s="138" t="str">
        <f t="shared" si="4"/>
        <v>draw</v>
      </c>
      <c r="AL12" s="110" t="str">
        <f t="shared" si="5"/>
        <v>draw</v>
      </c>
      <c r="AM12" s="138"/>
      <c r="AN12" s="139"/>
      <c r="AO12" s="139"/>
      <c r="AP12" s="139"/>
      <c r="AQ12" s="139"/>
      <c r="AR12" s="143" t="s">
        <v>25</v>
      </c>
      <c r="AS12" s="108" t="s">
        <v>7</v>
      </c>
      <c r="AT12" s="108" t="s">
        <v>8</v>
      </c>
      <c r="AU12" s="108" t="s">
        <v>9</v>
      </c>
      <c r="AV12" s="108" t="s">
        <v>10</v>
      </c>
      <c r="AW12" s="108" t="s">
        <v>11</v>
      </c>
      <c r="AX12" s="108" t="s">
        <v>12</v>
      </c>
      <c r="AY12" s="108" t="s">
        <v>17</v>
      </c>
      <c r="AZ12" s="108" t="s">
        <v>14</v>
      </c>
      <c r="BA12" s="108"/>
      <c r="BB12" s="108"/>
      <c r="BC12" s="108"/>
      <c r="BD12" s="110"/>
      <c r="BE12" s="108" t="str">
        <f>AR12</f>
        <v>Group B</v>
      </c>
      <c r="BF12" s="141"/>
      <c r="BG12" s="110"/>
      <c r="BH12" s="110"/>
      <c r="BI12" s="110"/>
      <c r="BJ12" s="110"/>
      <c r="BK12" s="110"/>
      <c r="BL12" s="110"/>
      <c r="BM12" s="110"/>
      <c r="BN12" s="110"/>
      <c r="BO12" s="110"/>
      <c r="BP12" s="110"/>
      <c r="BQ12" s="110"/>
      <c r="BR12" s="110"/>
    </row>
    <row r="13" spans="2:70" ht="16.5" thickBot="1">
      <c r="B13" s="80" t="s">
        <v>75</v>
      </c>
      <c r="C13" s="80">
        <v>38514</v>
      </c>
      <c r="D13" s="30"/>
      <c r="E13" s="31" t="s">
        <v>60</v>
      </c>
      <c r="F13" s="78"/>
      <c r="G13" s="78"/>
      <c r="H13" s="162" t="s">
        <v>61</v>
      </c>
      <c r="I13" s="212">
        <f>'Your Predictions'!I13</f>
      </c>
      <c r="J13" s="34"/>
      <c r="K13" s="27" t="str">
        <f>VLOOKUP(BF13,BD13:BE16,2,FALSE)</f>
        <v>England</v>
      </c>
      <c r="L13" s="2">
        <f>VLOOKUP(K13,AR13:AZ16,2,FALSE)</f>
        <v>0</v>
      </c>
      <c r="M13" s="2">
        <f>VLOOKUP(K13,AR13:AZ16,3,FALSE)</f>
        <v>0</v>
      </c>
      <c r="N13" s="2">
        <f>VLOOKUP(K13,AR13:AZ16,4,FALSE)</f>
        <v>0</v>
      </c>
      <c r="O13" s="2">
        <f>VLOOKUP(K13,AR13:AZ16,5,FALSE)</f>
        <v>0</v>
      </c>
      <c r="P13" s="2">
        <f>VLOOKUP(K13,AR13:AZ16,6,FALSE)</f>
        <v>0</v>
      </c>
      <c r="Q13" s="2">
        <f>VLOOKUP(K13,AR13:AZ16,7,FALSE)</f>
        <v>0</v>
      </c>
      <c r="R13" s="2">
        <f>VLOOKUP(K13,AR13:AZ16,8,FALSE)</f>
        <v>0</v>
      </c>
      <c r="S13" s="2">
        <f>VLOOKUP(K13,AR13:AZ16,9,FALSE)</f>
        <v>0</v>
      </c>
      <c r="T13" s="212">
        <f>'Your Predictions'!T13</f>
      </c>
      <c r="U13" s="84"/>
      <c r="V13" s="122"/>
      <c r="W13" s="28"/>
      <c r="X13" s="111"/>
      <c r="Y13" s="113"/>
      <c r="Z13" s="113"/>
      <c r="AB13" s="112">
        <v>7</v>
      </c>
      <c r="AC13" s="138">
        <f>SUM($F$7:G13)</f>
        <v>0</v>
      </c>
      <c r="AD13" s="138">
        <f>IF(F13="","",ABS(AC13-'Your Predictions'!AC13))</f>
      </c>
      <c r="AE13" s="138"/>
      <c r="AF13" s="110">
        <f t="shared" si="0"/>
      </c>
      <c r="AG13" s="138">
        <f t="shared" si="1"/>
        <v>0</v>
      </c>
      <c r="AH13" s="138">
        <f t="shared" si="2"/>
        <v>0</v>
      </c>
      <c r="AI13" s="138">
        <f t="shared" si="3"/>
      </c>
      <c r="AJ13" s="138"/>
      <c r="AK13" s="138" t="str">
        <f t="shared" si="4"/>
        <v>draw</v>
      </c>
      <c r="AL13" s="110" t="str">
        <f t="shared" si="5"/>
        <v>draw</v>
      </c>
      <c r="AM13" s="138"/>
      <c r="AN13" s="139"/>
      <c r="AO13" s="139"/>
      <c r="AP13" s="139"/>
      <c r="AQ13" s="139"/>
      <c r="AR13" s="140" t="s">
        <v>23</v>
      </c>
      <c r="AS13" s="110">
        <f>COUNTIF($AF$7:$AI$54,AR13)</f>
        <v>0</v>
      </c>
      <c r="AT13" s="108">
        <f>COUNTIF(winners,AR13)</f>
        <v>0</v>
      </c>
      <c r="AU13" s="108">
        <f>AS13-(AT13+AV13)</f>
        <v>0</v>
      </c>
      <c r="AV13" s="108">
        <f>COUNTIF(losers,AR13)</f>
        <v>0</v>
      </c>
      <c r="AW13" s="108">
        <f>SUM(EnglandF)</f>
        <v>0</v>
      </c>
      <c r="AX13" s="108">
        <f>SUM(EnglandA)</f>
        <v>0</v>
      </c>
      <c r="AY13" s="108">
        <f>SUM(AW13-AX13)</f>
        <v>0</v>
      </c>
      <c r="AZ13" s="108">
        <f>SUM((AT13*3)+AU13)</f>
        <v>0</v>
      </c>
      <c r="BA13" s="108">
        <v>5</v>
      </c>
      <c r="BB13" s="108">
        <f>CODE(MID(AR13,2,1))</f>
        <v>110</v>
      </c>
      <c r="BC13" s="108">
        <f>CODE(AR13)</f>
        <v>69</v>
      </c>
      <c r="BD13" s="110">
        <f>SUM((AZ13*100)+(AY13*10)+(AW13)-(BC13/1000)-(BB13/10000)-(BA13/100000))</f>
        <v>-0.08005</v>
      </c>
      <c r="BE13" s="108" t="str">
        <f>AR13</f>
        <v>England</v>
      </c>
      <c r="BF13" s="141">
        <f>LARGE(BD13:BD16,1)</f>
        <v>-0.08005</v>
      </c>
      <c r="BG13" s="110"/>
      <c r="BH13" s="110"/>
      <c r="BI13" s="110"/>
      <c r="BJ13" s="110"/>
      <c r="BK13" s="110"/>
      <c r="BL13" s="110"/>
      <c r="BM13" s="110"/>
      <c r="BN13" s="110"/>
      <c r="BO13" s="110"/>
      <c r="BP13" s="110"/>
      <c r="BQ13" s="110"/>
      <c r="BR13" s="110"/>
    </row>
    <row r="14" spans="2:70" ht="16.5" thickBot="1">
      <c r="B14" s="80" t="s">
        <v>75</v>
      </c>
      <c r="C14" s="80">
        <v>38514</v>
      </c>
      <c r="D14" s="30"/>
      <c r="E14" s="31" t="s">
        <v>62</v>
      </c>
      <c r="F14" s="78"/>
      <c r="G14" s="78"/>
      <c r="H14" s="162" t="s">
        <v>18</v>
      </c>
      <c r="I14" s="212">
        <f>'Your Predictions'!I14</f>
      </c>
      <c r="J14" s="35"/>
      <c r="K14" s="27" t="str">
        <f>VLOOKUP(BF14,BD13:BE16,2,FALSE)</f>
        <v>Paraguay</v>
      </c>
      <c r="L14" s="2">
        <f>VLOOKUP(K14,AR13:AZ16,2,FALSE)</f>
        <v>0</v>
      </c>
      <c r="M14" s="2">
        <f>VLOOKUP(K14,AR13:AZ16,3,FALSE)</f>
        <v>0</v>
      </c>
      <c r="N14" s="2">
        <f>VLOOKUP(K14,AR13:AZ16,4,FALSE)</f>
        <v>0</v>
      </c>
      <c r="O14" s="2">
        <f>VLOOKUP(K14,AR13:AZ16,5,FALSE)</f>
        <v>0</v>
      </c>
      <c r="P14" s="2">
        <f>VLOOKUP(K14,AR13:AZ16,6,FALSE)</f>
        <v>0</v>
      </c>
      <c r="Q14" s="2">
        <f>VLOOKUP(K14,AR13:AZ16,7,FALSE)</f>
        <v>0</v>
      </c>
      <c r="R14" s="2">
        <f>VLOOKUP(K14,AR13:AZ16,8,FALSE)</f>
        <v>0</v>
      </c>
      <c r="S14" s="2">
        <f>VLOOKUP(K14,AR13:AZ16,9,FALSE)</f>
        <v>0</v>
      </c>
      <c r="T14" s="212">
        <f>'Your Predictions'!T14</f>
      </c>
      <c r="U14" s="84"/>
      <c r="V14" s="130"/>
      <c r="W14" s="28"/>
      <c r="X14" s="111"/>
      <c r="Y14" s="113"/>
      <c r="Z14" s="113"/>
      <c r="AB14" s="112">
        <v>8</v>
      </c>
      <c r="AC14" s="138">
        <f>SUM($F$7:G14)</f>
        <v>0</v>
      </c>
      <c r="AD14" s="138">
        <f>IF(F14="","",ABS(AC14-'Your Predictions'!AC14))</f>
      </c>
      <c r="AE14" s="138"/>
      <c r="AF14" s="110">
        <f t="shared" si="0"/>
      </c>
      <c r="AG14" s="138">
        <f t="shared" si="1"/>
        <v>0</v>
      </c>
      <c r="AH14" s="138">
        <f t="shared" si="2"/>
        <v>0</v>
      </c>
      <c r="AI14" s="138">
        <f t="shared" si="3"/>
      </c>
      <c r="AJ14" s="138"/>
      <c r="AK14" s="138" t="str">
        <f t="shared" si="4"/>
        <v>draw</v>
      </c>
      <c r="AL14" s="110" t="str">
        <f t="shared" si="5"/>
        <v>draw</v>
      </c>
      <c r="AM14" s="138"/>
      <c r="AN14" s="139"/>
      <c r="AO14" s="139"/>
      <c r="AP14" s="139"/>
      <c r="AQ14" s="139"/>
      <c r="AR14" s="140" t="s">
        <v>55</v>
      </c>
      <c r="AS14" s="110">
        <f>COUNTIF($AF$7:$AI$54,AR14)</f>
        <v>0</v>
      </c>
      <c r="AT14" s="108">
        <f>COUNTIF(winners,AR14)</f>
        <v>0</v>
      </c>
      <c r="AU14" s="108">
        <f>AS14-(AT14+AV14)</f>
        <v>0</v>
      </c>
      <c r="AV14" s="108">
        <f>COUNTIF(losers,AR14)</f>
        <v>0</v>
      </c>
      <c r="AW14" s="108">
        <f>SUM(ParF)</f>
        <v>0</v>
      </c>
      <c r="AX14" s="108">
        <f>SUM(ParA)</f>
        <v>0</v>
      </c>
      <c r="AY14" s="108">
        <f>SUM(AW14-AX14)</f>
        <v>0</v>
      </c>
      <c r="AZ14" s="108">
        <f>SUM((AT14*3)+AU14)</f>
        <v>0</v>
      </c>
      <c r="BA14" s="108">
        <v>6</v>
      </c>
      <c r="BB14" s="108">
        <f>CODE(MID(AR14,2,1))</f>
        <v>97</v>
      </c>
      <c r="BC14" s="108">
        <f>CODE(AR14)</f>
        <v>80</v>
      </c>
      <c r="BD14" s="110">
        <f>SUM((AZ14*100)+(AY14*10)+(AW14)-(BC14/1000)-(BB14/10000)-(BA14/100000))</f>
        <v>-0.08976</v>
      </c>
      <c r="BE14" s="108" t="str">
        <f>AR14</f>
        <v>Paraguay</v>
      </c>
      <c r="BF14" s="141">
        <f>LARGE(BD13:BD16,2)</f>
        <v>-0.08976</v>
      </c>
      <c r="BG14" s="110"/>
      <c r="BH14" s="110"/>
      <c r="BI14" s="110"/>
      <c r="BJ14" s="110"/>
      <c r="BK14" s="110"/>
      <c r="BL14" s="110"/>
      <c r="BM14" s="110"/>
      <c r="BN14" s="110"/>
      <c r="BO14" s="110"/>
      <c r="BP14" s="110"/>
      <c r="BQ14" s="110"/>
      <c r="BR14" s="110"/>
    </row>
    <row r="15" spans="2:70" ht="16.5" thickBot="1">
      <c r="B15" s="80" t="s">
        <v>76</v>
      </c>
      <c r="C15" s="80">
        <v>38515</v>
      </c>
      <c r="D15" s="30"/>
      <c r="E15" s="31" t="s">
        <v>24</v>
      </c>
      <c r="F15" s="78"/>
      <c r="G15" s="78"/>
      <c r="H15" s="162" t="s">
        <v>63</v>
      </c>
      <c r="I15" s="212">
        <f>'Your Predictions'!I15</f>
      </c>
      <c r="J15" s="36"/>
      <c r="K15" s="27" t="str">
        <f>VLOOKUP(BF15,BD13:BE16,2,FALSE)</f>
        <v>Sweden</v>
      </c>
      <c r="L15" s="2">
        <f>VLOOKUP(K15,AR13:AZ16,2,FALSE)</f>
        <v>0</v>
      </c>
      <c r="M15" s="2">
        <f>VLOOKUP(K15,AR13:AZ16,3,FALSE)</f>
        <v>0</v>
      </c>
      <c r="N15" s="2">
        <f>VLOOKUP(K15,AR13:AZ16,4,FALSE)</f>
        <v>0</v>
      </c>
      <c r="O15" s="2">
        <f>VLOOKUP(K15,AR13:AZ16,5,FALSE)</f>
        <v>0</v>
      </c>
      <c r="P15" s="2">
        <f>VLOOKUP(K15,AR13:AZ16,6,FALSE)</f>
        <v>0</v>
      </c>
      <c r="Q15" s="2">
        <f>VLOOKUP(K15,AR13:AZ16,7,FALSE)</f>
        <v>0</v>
      </c>
      <c r="R15" s="2">
        <f>VLOOKUP(K15,AR13:AZ16,8,FALSE)</f>
        <v>0</v>
      </c>
      <c r="S15" s="2">
        <f>VLOOKUP(K15,AR13:AZ16,9,FALSE)</f>
        <v>0</v>
      </c>
      <c r="T15" s="212">
        <f>'Your Predictions'!T15</f>
      </c>
      <c r="U15" s="84"/>
      <c r="V15" s="12"/>
      <c r="W15" s="28"/>
      <c r="X15" s="111"/>
      <c r="Y15" s="113"/>
      <c r="Z15" s="113"/>
      <c r="AB15" s="112">
        <v>9</v>
      </c>
      <c r="AC15" s="138">
        <f>SUM($F$7:G15)</f>
        <v>0</v>
      </c>
      <c r="AD15" s="138">
        <f>IF(F15="","",ABS(AC15-'Your Predictions'!AC15))</f>
      </c>
      <c r="AE15" s="138"/>
      <c r="AF15" s="110">
        <f t="shared" si="0"/>
      </c>
      <c r="AG15" s="138">
        <f t="shared" si="1"/>
        <v>0</v>
      </c>
      <c r="AH15" s="138">
        <f t="shared" si="2"/>
        <v>0</v>
      </c>
      <c r="AI15" s="138">
        <f t="shared" si="3"/>
      </c>
      <c r="AJ15" s="138"/>
      <c r="AK15" s="138" t="str">
        <f t="shared" si="4"/>
        <v>draw</v>
      </c>
      <c r="AL15" s="110" t="str">
        <f t="shared" si="5"/>
        <v>draw</v>
      </c>
      <c r="AM15" s="138"/>
      <c r="AN15" s="139"/>
      <c r="AO15" s="139"/>
      <c r="AP15" s="139"/>
      <c r="AQ15" s="139"/>
      <c r="AR15" s="140" t="s">
        <v>56</v>
      </c>
      <c r="AS15" s="110">
        <f>COUNTIF($AF$7:$AI$54,AR15)</f>
        <v>0</v>
      </c>
      <c r="AT15" s="108">
        <f>COUNTIF(winners,AR15)</f>
        <v>0</v>
      </c>
      <c r="AU15" s="108">
        <f>AS15-(AT15+AV15)</f>
        <v>0</v>
      </c>
      <c r="AV15" s="108">
        <f>COUNTIF(losers,AR15)</f>
        <v>0</v>
      </c>
      <c r="AW15" s="108">
        <f>SUM(TriF)</f>
        <v>0</v>
      </c>
      <c r="AX15" s="108">
        <f>SUM(TriA)</f>
        <v>0</v>
      </c>
      <c r="AY15" s="108">
        <f>SUM(AW15-AX15)</f>
        <v>0</v>
      </c>
      <c r="AZ15" s="108">
        <f>SUM((AT15*3)+AU15)</f>
        <v>0</v>
      </c>
      <c r="BA15" s="108">
        <v>7</v>
      </c>
      <c r="BB15" s="108">
        <f>CODE(MID(AR15,2,1))</f>
        <v>114</v>
      </c>
      <c r="BC15" s="108">
        <f>CODE(AR15)</f>
        <v>84</v>
      </c>
      <c r="BD15" s="110">
        <f>SUM((AZ15*100)+(AY15*10)+(AW15)-(BC15/1000)-(BB15/10000)-(BA15/100000))</f>
        <v>-0.09547000000000001</v>
      </c>
      <c r="BE15" s="108" t="str">
        <f>AR15</f>
        <v>Trinidad &amp; Tobago</v>
      </c>
      <c r="BF15" s="141">
        <f>LARGE(BD13:BD16,3)</f>
        <v>-0.09498000000000001</v>
      </c>
      <c r="BG15" s="110"/>
      <c r="BH15" s="110"/>
      <c r="BI15" s="110"/>
      <c r="BJ15" s="110"/>
      <c r="BK15" s="110"/>
      <c r="BL15" s="110"/>
      <c r="BM15" s="110"/>
      <c r="BN15" s="110"/>
      <c r="BO15" s="110"/>
      <c r="BP15" s="110"/>
      <c r="BQ15" s="110"/>
      <c r="BR15" s="110"/>
    </row>
    <row r="16" spans="2:70" ht="16.5" thickBot="1">
      <c r="B16" s="80" t="s">
        <v>76</v>
      </c>
      <c r="C16" s="80">
        <v>38515</v>
      </c>
      <c r="D16" s="30"/>
      <c r="E16" s="31" t="s">
        <v>64</v>
      </c>
      <c r="F16" s="78"/>
      <c r="G16" s="78"/>
      <c r="H16" s="162" t="s">
        <v>27</v>
      </c>
      <c r="I16" s="212">
        <f>'Your Predictions'!I16</f>
      </c>
      <c r="J16" s="37"/>
      <c r="K16" s="27" t="str">
        <f>VLOOKUP(BF16,BD13:BE16,2,FALSE)</f>
        <v>Trinidad &amp; Tobago</v>
      </c>
      <c r="L16" s="2">
        <f>VLOOKUP(K16,AR13:AZ16,2,FALSE)</f>
        <v>0</v>
      </c>
      <c r="M16" s="2">
        <f>VLOOKUP(K16,AR13:AZ16,3,FALSE)</f>
        <v>0</v>
      </c>
      <c r="N16" s="2">
        <f>VLOOKUP(K16,AR13:AZ16,4,FALSE)</f>
        <v>0</v>
      </c>
      <c r="O16" s="2">
        <f>VLOOKUP(K16,AR13:AZ16,5,FALSE)</f>
        <v>0</v>
      </c>
      <c r="P16" s="2">
        <f>VLOOKUP(K16,AR13:AZ16,6,FALSE)</f>
        <v>0</v>
      </c>
      <c r="Q16" s="2">
        <f>VLOOKUP(K16,AR13:AZ16,7,FALSE)</f>
        <v>0</v>
      </c>
      <c r="R16" s="2">
        <f>VLOOKUP(K16,AR13:AZ16,8,FALSE)</f>
        <v>0</v>
      </c>
      <c r="S16" s="2">
        <f>VLOOKUP(K16,AR13:AZ16,9,FALSE)</f>
        <v>0</v>
      </c>
      <c r="T16" s="212">
        <f>'Your Predictions'!T16</f>
      </c>
      <c r="U16" s="84"/>
      <c r="V16" s="224"/>
      <c r="W16" s="28"/>
      <c r="X16" s="111"/>
      <c r="Y16" s="113"/>
      <c r="Z16" s="113"/>
      <c r="AB16" s="112">
        <v>10</v>
      </c>
      <c r="AC16" s="138">
        <f>SUM($F$7:G16)</f>
        <v>0</v>
      </c>
      <c r="AD16" s="138">
        <f>IF(F16="","",ABS(AC16-'Your Predictions'!AC16))</f>
      </c>
      <c r="AE16" s="138"/>
      <c r="AF16" s="110">
        <f t="shared" si="0"/>
      </c>
      <c r="AG16" s="138">
        <f t="shared" si="1"/>
        <v>0</v>
      </c>
      <c r="AH16" s="138">
        <f t="shared" si="2"/>
        <v>0</v>
      </c>
      <c r="AI16" s="138">
        <f t="shared" si="3"/>
      </c>
      <c r="AJ16" s="138"/>
      <c r="AK16" s="138" t="str">
        <f t="shared" si="4"/>
        <v>draw</v>
      </c>
      <c r="AL16" s="110" t="str">
        <f t="shared" si="5"/>
        <v>draw</v>
      </c>
      <c r="AM16" s="138"/>
      <c r="AN16" s="139"/>
      <c r="AO16" s="139"/>
      <c r="AP16" s="139"/>
      <c r="AQ16" s="139"/>
      <c r="AR16" s="140" t="s">
        <v>26</v>
      </c>
      <c r="AS16" s="110">
        <f>COUNTIF($AF$7:$AI$54,AR16)</f>
        <v>0</v>
      </c>
      <c r="AT16" s="108">
        <f>COUNTIF(winners,AR16)</f>
        <v>0</v>
      </c>
      <c r="AU16" s="108">
        <f>AS16-(AT16+AV16)</f>
        <v>0</v>
      </c>
      <c r="AV16" s="108">
        <f>COUNTIF(losers,AR16)</f>
        <v>0</v>
      </c>
      <c r="AW16" s="108">
        <f>SUM(SweF)</f>
        <v>0</v>
      </c>
      <c r="AX16" s="108">
        <f>SUM(SweA)</f>
        <v>0</v>
      </c>
      <c r="AY16" s="108">
        <f>SUM(AW16-AX16)</f>
        <v>0</v>
      </c>
      <c r="AZ16" s="108">
        <f>SUM((AT16*3)+AU16)</f>
        <v>0</v>
      </c>
      <c r="BA16" s="108">
        <v>8</v>
      </c>
      <c r="BB16" s="108">
        <f>CODE(MID(AR16,2,1))</f>
        <v>119</v>
      </c>
      <c r="BC16" s="108">
        <f>CODE(AR16)</f>
        <v>83</v>
      </c>
      <c r="BD16" s="110">
        <f>SUM((AZ16*100)+(AY16*10)+(AW16)-(BC16/1000)-(BB16/10000)-(BA16/100000))</f>
        <v>-0.09498000000000001</v>
      </c>
      <c r="BE16" s="108" t="str">
        <f>AR16</f>
        <v>Sweden</v>
      </c>
      <c r="BF16" s="141">
        <f>LARGE(BD13:BD16,4)</f>
        <v>-0.09547000000000001</v>
      </c>
      <c r="BG16" s="110"/>
      <c r="BH16" s="110"/>
      <c r="BI16" s="110"/>
      <c r="BJ16" s="110"/>
      <c r="BK16" s="110"/>
      <c r="BL16" s="110"/>
      <c r="BM16" s="110"/>
      <c r="BN16" s="110"/>
      <c r="BO16" s="110"/>
      <c r="BP16" s="110"/>
      <c r="BQ16" s="110"/>
      <c r="BR16" s="110"/>
    </row>
    <row r="17" spans="2:70" ht="16.5" thickBot="1">
      <c r="B17" s="80" t="s">
        <v>76</v>
      </c>
      <c r="C17" s="80">
        <v>38515</v>
      </c>
      <c r="D17" s="30"/>
      <c r="E17" s="39" t="s">
        <v>65</v>
      </c>
      <c r="F17" s="78"/>
      <c r="G17" s="78"/>
      <c r="H17" s="162" t="s">
        <v>66</v>
      </c>
      <c r="I17" s="212">
        <f>'Your Predictions'!I17</f>
      </c>
      <c r="J17" s="36"/>
      <c r="K17" s="27"/>
      <c r="L17" s="2"/>
      <c r="M17" s="2"/>
      <c r="N17" s="2"/>
      <c r="O17" s="2"/>
      <c r="P17" s="2"/>
      <c r="Q17" s="2"/>
      <c r="R17" s="2"/>
      <c r="S17" s="2"/>
      <c r="T17" s="212"/>
      <c r="U17" s="85"/>
      <c r="V17" s="229" t="s">
        <v>99</v>
      </c>
      <c r="W17" s="11"/>
      <c r="X17" s="111"/>
      <c r="Y17" s="113"/>
      <c r="Z17" s="113"/>
      <c r="AB17" s="112">
        <v>11</v>
      </c>
      <c r="AC17" s="138">
        <f>SUM($F$7:G17)</f>
        <v>0</v>
      </c>
      <c r="AD17" s="138">
        <f>IF(F17="","",ABS(AC17-'Your Predictions'!AC17))</f>
      </c>
      <c r="AE17" s="138"/>
      <c r="AF17" s="110">
        <f t="shared" si="0"/>
      </c>
      <c r="AG17" s="138">
        <f t="shared" si="1"/>
        <v>0</v>
      </c>
      <c r="AH17" s="138">
        <f t="shared" si="2"/>
        <v>0</v>
      </c>
      <c r="AI17" s="138">
        <f t="shared" si="3"/>
      </c>
      <c r="AJ17" s="138"/>
      <c r="AK17" s="138" t="str">
        <f t="shared" si="4"/>
        <v>draw</v>
      </c>
      <c r="AL17" s="110" t="str">
        <f t="shared" si="5"/>
        <v>draw</v>
      </c>
      <c r="AM17" s="138"/>
      <c r="AN17" s="139"/>
      <c r="AO17" s="139"/>
      <c r="AP17" s="139"/>
      <c r="AQ17" s="139"/>
      <c r="AR17" s="108"/>
      <c r="AS17" s="110"/>
      <c r="AT17" s="108"/>
      <c r="AU17" s="108"/>
      <c r="AV17" s="108"/>
      <c r="AW17" s="108"/>
      <c r="AX17" s="108"/>
      <c r="AY17" s="108"/>
      <c r="AZ17" s="108"/>
      <c r="BA17" s="108"/>
      <c r="BB17" s="108"/>
      <c r="BC17" s="108"/>
      <c r="BD17" s="110"/>
      <c r="BE17" s="108"/>
      <c r="BF17" s="141"/>
      <c r="BG17" s="110"/>
      <c r="BH17" s="110"/>
      <c r="BI17" s="110"/>
      <c r="BJ17" s="110"/>
      <c r="BK17" s="110"/>
      <c r="BL17" s="110"/>
      <c r="BM17" s="110"/>
      <c r="BN17" s="110"/>
      <c r="BO17" s="110"/>
      <c r="BP17" s="110"/>
      <c r="BQ17" s="110"/>
      <c r="BR17" s="110"/>
    </row>
    <row r="18" spans="2:70" ht="16.5" thickBot="1">
      <c r="B18" s="80" t="s">
        <v>77</v>
      </c>
      <c r="C18" s="80">
        <v>38516</v>
      </c>
      <c r="D18" s="30"/>
      <c r="E18" s="31" t="s">
        <v>83</v>
      </c>
      <c r="F18" s="78"/>
      <c r="G18" s="78"/>
      <c r="H18" s="162" t="s">
        <v>21</v>
      </c>
      <c r="I18" s="212">
        <f>'Your Predictions'!I18</f>
      </c>
      <c r="J18" s="37"/>
      <c r="K18" s="127" t="s">
        <v>29</v>
      </c>
      <c r="L18" s="129" t="s">
        <v>7</v>
      </c>
      <c r="M18" s="129" t="s">
        <v>8</v>
      </c>
      <c r="N18" s="129" t="s">
        <v>9</v>
      </c>
      <c r="O18" s="129" t="s">
        <v>10</v>
      </c>
      <c r="P18" s="129" t="s">
        <v>11</v>
      </c>
      <c r="Q18" s="129" t="s">
        <v>12</v>
      </c>
      <c r="R18" s="129" t="s">
        <v>13</v>
      </c>
      <c r="S18" s="129" t="s">
        <v>14</v>
      </c>
      <c r="T18" s="212"/>
      <c r="U18" s="6"/>
      <c r="V18" s="225"/>
      <c r="W18" s="41"/>
      <c r="X18" s="142"/>
      <c r="Y18" s="113"/>
      <c r="Z18" s="113"/>
      <c r="AB18" s="112">
        <v>12</v>
      </c>
      <c r="AC18" s="138">
        <f>SUM($F$7:G18)</f>
        <v>0</v>
      </c>
      <c r="AD18" s="138">
        <f>IF(F18="","",ABS(AC18-'Your Predictions'!AC18))</f>
      </c>
      <c r="AE18" s="138"/>
      <c r="AF18" s="110">
        <f t="shared" si="0"/>
      </c>
      <c r="AG18" s="138">
        <f t="shared" si="1"/>
        <v>0</v>
      </c>
      <c r="AH18" s="138">
        <f t="shared" si="2"/>
        <v>0</v>
      </c>
      <c r="AI18" s="138">
        <f t="shared" si="3"/>
      </c>
      <c r="AJ18" s="138"/>
      <c r="AK18" s="138" t="str">
        <f t="shared" si="4"/>
        <v>draw</v>
      </c>
      <c r="AL18" s="110" t="str">
        <f t="shared" si="5"/>
        <v>draw</v>
      </c>
      <c r="AM18" s="138"/>
      <c r="AN18" s="139"/>
      <c r="AO18" s="139"/>
      <c r="AP18" s="139"/>
      <c r="AQ18" s="139"/>
      <c r="AR18" s="143" t="s">
        <v>29</v>
      </c>
      <c r="AS18" s="108" t="s">
        <v>7</v>
      </c>
      <c r="AT18" s="108" t="s">
        <v>8</v>
      </c>
      <c r="AU18" s="108" t="s">
        <v>9</v>
      </c>
      <c r="AV18" s="108" t="s">
        <v>10</v>
      </c>
      <c r="AW18" s="108" t="s">
        <v>11</v>
      </c>
      <c r="AX18" s="108" t="s">
        <v>12</v>
      </c>
      <c r="AY18" s="108" t="s">
        <v>17</v>
      </c>
      <c r="AZ18" s="108" t="s">
        <v>14</v>
      </c>
      <c r="BA18" s="108"/>
      <c r="BB18" s="108"/>
      <c r="BC18" s="108"/>
      <c r="BD18" s="110"/>
      <c r="BE18" s="108"/>
      <c r="BF18" s="136"/>
      <c r="BG18" s="108"/>
      <c r="BH18" s="108"/>
      <c r="BI18" s="110"/>
      <c r="BJ18" s="110"/>
      <c r="BK18" s="110"/>
      <c r="BL18" s="110"/>
      <c r="BM18" s="110"/>
      <c r="BN18" s="110"/>
      <c r="BO18" s="110"/>
      <c r="BP18" s="110"/>
      <c r="BQ18" s="110"/>
      <c r="BR18" s="110"/>
    </row>
    <row r="19" spans="2:70" ht="16.5" thickBot="1">
      <c r="B19" s="80" t="s">
        <v>77</v>
      </c>
      <c r="C19" s="80">
        <v>38516</v>
      </c>
      <c r="D19" s="30"/>
      <c r="E19" s="31" t="s">
        <v>22</v>
      </c>
      <c r="F19" s="78"/>
      <c r="G19" s="78"/>
      <c r="H19" s="162" t="s">
        <v>20</v>
      </c>
      <c r="I19" s="212">
        <f>'Your Predictions'!I19</f>
      </c>
      <c r="J19" s="42"/>
      <c r="K19" s="27" t="str">
        <f>VLOOKUP(BF19,BD19:BE22,2,FALSE)</f>
        <v>Argentina</v>
      </c>
      <c r="L19" s="2">
        <f>VLOOKUP(K19,AR19:AZ22,2,FALSE)</f>
        <v>0</v>
      </c>
      <c r="M19" s="2">
        <f>VLOOKUP(K19,AR19:AZ22,3,FALSE)</f>
        <v>0</v>
      </c>
      <c r="N19" s="2">
        <f>VLOOKUP(K19,AR19:AZ22,4,FALSE)</f>
        <v>0</v>
      </c>
      <c r="O19" s="2">
        <f>VLOOKUP(K19,AR19:AZ22,5,FALSE)</f>
        <v>0</v>
      </c>
      <c r="P19" s="2">
        <f>VLOOKUP(K19,AR19:AZ22,6,FALSE)</f>
        <v>0</v>
      </c>
      <c r="Q19" s="2">
        <f>VLOOKUP(K19,AR19:AZ22,7,FALSE)</f>
        <v>0</v>
      </c>
      <c r="R19" s="2">
        <f>VLOOKUP(K19,AR19:AZ22,8,FALSE)</f>
        <v>0</v>
      </c>
      <c r="S19" s="2">
        <f>VLOOKUP(K19,AR19:AZ22,9,FALSE)</f>
        <v>0</v>
      </c>
      <c r="T19" s="212">
        <f>'Your Predictions'!T19</f>
      </c>
      <c r="U19" s="84"/>
      <c r="V19" s="225"/>
      <c r="W19" s="11"/>
      <c r="X19" s="111"/>
      <c r="Y19" s="113"/>
      <c r="Z19" s="113"/>
      <c r="AB19" s="112">
        <v>13</v>
      </c>
      <c r="AC19" s="138">
        <f>SUM($F$7:G19)</f>
        <v>0</v>
      </c>
      <c r="AD19" s="138">
        <f>IF(F19="","",ABS(AC19-'Your Predictions'!AC19))</f>
      </c>
      <c r="AE19" s="138"/>
      <c r="AF19" s="110">
        <f t="shared" si="0"/>
      </c>
      <c r="AG19" s="138">
        <f t="shared" si="1"/>
        <v>0</v>
      </c>
      <c r="AH19" s="138">
        <f t="shared" si="2"/>
        <v>0</v>
      </c>
      <c r="AI19" s="138">
        <f t="shared" si="3"/>
      </c>
      <c r="AJ19" s="138"/>
      <c r="AK19" s="138" t="str">
        <f t="shared" si="4"/>
        <v>draw</v>
      </c>
      <c r="AL19" s="110" t="str">
        <f t="shared" si="5"/>
        <v>draw</v>
      </c>
      <c r="AM19" s="138"/>
      <c r="AN19" s="139"/>
      <c r="AO19" s="139"/>
      <c r="AP19" s="139"/>
      <c r="AQ19" s="139"/>
      <c r="AR19" s="140" t="s">
        <v>72</v>
      </c>
      <c r="AS19" s="110">
        <f>COUNTIF($AF$7:$AI$54,AR19)</f>
        <v>0</v>
      </c>
      <c r="AT19" s="108">
        <f>COUNTIF(winners,AR19)</f>
        <v>0</v>
      </c>
      <c r="AU19" s="108">
        <f>AS19-(AT19+AV19)</f>
        <v>0</v>
      </c>
      <c r="AV19" s="108">
        <f>COUNTIF(losers,AR19)</f>
        <v>0</v>
      </c>
      <c r="AW19" s="108">
        <f>SUM(ArgF)</f>
        <v>0</v>
      </c>
      <c r="AX19" s="108">
        <f>SUM(ArgA)</f>
        <v>0</v>
      </c>
      <c r="AY19" s="108">
        <f>SUM(AW19-AX19)</f>
        <v>0</v>
      </c>
      <c r="AZ19" s="108">
        <f>SUM((AT19*3)+AU19)</f>
        <v>0</v>
      </c>
      <c r="BA19" s="108">
        <v>9</v>
      </c>
      <c r="BB19" s="108">
        <f>CODE(MID(AR19,2,1))</f>
        <v>114</v>
      </c>
      <c r="BC19" s="108">
        <f>CODE(AR19)</f>
        <v>65</v>
      </c>
      <c r="BD19" s="110">
        <f>SUM((AZ19*100)+(AY19*10)+(AW19)-(BC19/1000)-(BB19/10000)-(BA19/100000))</f>
        <v>-0.07649</v>
      </c>
      <c r="BE19" s="108" t="str">
        <f>AR19</f>
        <v>Argentina</v>
      </c>
      <c r="BF19" s="141">
        <f>LARGE(BD19:BD22,1)</f>
        <v>-0.07649</v>
      </c>
      <c r="BG19" s="110"/>
      <c r="BH19" s="110"/>
      <c r="BI19" s="110"/>
      <c r="BJ19" s="110"/>
      <c r="BK19" s="110"/>
      <c r="BL19" s="110"/>
      <c r="BM19" s="110"/>
      <c r="BN19" s="110"/>
      <c r="BO19" s="110"/>
      <c r="BP19" s="110"/>
      <c r="BQ19" s="110"/>
      <c r="BR19" s="110"/>
    </row>
    <row r="20" spans="2:70" ht="16.5" thickBot="1">
      <c r="B20" s="80" t="s">
        <v>77</v>
      </c>
      <c r="C20" s="80">
        <v>38516</v>
      </c>
      <c r="D20" s="30"/>
      <c r="E20" s="31" t="s">
        <v>67</v>
      </c>
      <c r="F20" s="78"/>
      <c r="G20" s="78"/>
      <c r="H20" s="162" t="s">
        <v>68</v>
      </c>
      <c r="I20" s="212">
        <f>'Your Predictions'!I20</f>
      </c>
      <c r="J20" s="5"/>
      <c r="K20" s="27" t="str">
        <f>VLOOKUP(BF20,BD19:BE22,2,FALSE)</f>
        <v>Holland</v>
      </c>
      <c r="L20" s="2">
        <f>VLOOKUP(K20,AR19:AZ22,2,FALSE)</f>
        <v>0</v>
      </c>
      <c r="M20" s="2">
        <f>VLOOKUP(K20,AR19:AZ22,3,FALSE)</f>
        <v>0</v>
      </c>
      <c r="N20" s="2">
        <f>VLOOKUP(K20,AR19:AZ22,4,FALSE)</f>
        <v>0</v>
      </c>
      <c r="O20" s="2">
        <f>VLOOKUP(K20,AR19:AZ22,5,FALSE)</f>
        <v>0</v>
      </c>
      <c r="P20" s="2">
        <f>VLOOKUP(K20,AR19:AZ22,6,FALSE)</f>
        <v>0</v>
      </c>
      <c r="Q20" s="2">
        <f>VLOOKUP(K20,AR19:AZ22,7,FALSE)</f>
        <v>0</v>
      </c>
      <c r="R20" s="2">
        <f>VLOOKUP(K20,AR19:AZ22,8,FALSE)</f>
        <v>0</v>
      </c>
      <c r="S20" s="2">
        <f>VLOOKUP(K20,AR19:AZ22,9,FALSE)</f>
        <v>0</v>
      </c>
      <c r="T20" s="212">
        <f>'Your Predictions'!T20</f>
      </c>
      <c r="U20" s="84"/>
      <c r="V20" s="225"/>
      <c r="W20" s="11"/>
      <c r="X20" s="111"/>
      <c r="Y20" s="113"/>
      <c r="Z20" s="113"/>
      <c r="AB20" s="112">
        <v>14</v>
      </c>
      <c r="AC20" s="138">
        <f>SUM($F$7:G20)</f>
        <v>0</v>
      </c>
      <c r="AD20" s="138">
        <f>IF(F20="","",ABS(AC20-'Your Predictions'!AC20))</f>
      </c>
      <c r="AE20" s="138"/>
      <c r="AF20" s="110">
        <f t="shared" si="0"/>
      </c>
      <c r="AG20" s="138">
        <f t="shared" si="1"/>
        <v>0</v>
      </c>
      <c r="AH20" s="138">
        <f t="shared" si="2"/>
        <v>0</v>
      </c>
      <c r="AI20" s="138">
        <f t="shared" si="3"/>
      </c>
      <c r="AJ20" s="138"/>
      <c r="AK20" s="138" t="str">
        <f t="shared" si="4"/>
        <v>draw</v>
      </c>
      <c r="AL20" s="110" t="str">
        <f t="shared" si="5"/>
        <v>draw</v>
      </c>
      <c r="AM20" s="138"/>
      <c r="AN20" s="139"/>
      <c r="AO20" s="139"/>
      <c r="AP20" s="139"/>
      <c r="AQ20" s="139"/>
      <c r="AR20" s="140" t="s">
        <v>57</v>
      </c>
      <c r="AS20" s="110">
        <f>COUNTIF($AF$7:$AI$54,AR20)</f>
        <v>0</v>
      </c>
      <c r="AT20" s="108">
        <f>COUNTIF(winners,AR20)</f>
        <v>0</v>
      </c>
      <c r="AU20" s="108">
        <f>AS20-(AT20+AV20)</f>
        <v>0</v>
      </c>
      <c r="AV20" s="108">
        <f>COUNTIF(losers,AR20)</f>
        <v>0</v>
      </c>
      <c r="AW20" s="108">
        <f>SUM(IvoF)</f>
        <v>0</v>
      </c>
      <c r="AX20" s="108">
        <f>SUM(IvoA)</f>
        <v>0</v>
      </c>
      <c r="AY20" s="108">
        <f>SUM(AW20-AX20)</f>
        <v>0</v>
      </c>
      <c r="AZ20" s="108">
        <f>SUM((AT20*3)+AU20)</f>
        <v>0</v>
      </c>
      <c r="BA20" s="108">
        <v>10</v>
      </c>
      <c r="BB20" s="108">
        <f>CODE(MID(AR20,2,1))</f>
        <v>118</v>
      </c>
      <c r="BC20" s="108">
        <f>CODE(AR20)</f>
        <v>73</v>
      </c>
      <c r="BD20" s="110">
        <f>SUM((AZ20*100)+(AY20*10)+(AW20)-(BC20/1000)-(BB20/10000)-(BA20/100000))</f>
        <v>-0.0849</v>
      </c>
      <c r="BE20" s="108" t="str">
        <f>AR20</f>
        <v>Ivory Coast</v>
      </c>
      <c r="BF20" s="141">
        <f>LARGE(BD19:BD22,2)</f>
        <v>-0.08321999999999999</v>
      </c>
      <c r="BG20" s="110"/>
      <c r="BH20" s="110"/>
      <c r="BI20" s="110"/>
      <c r="BJ20" s="110"/>
      <c r="BK20" s="110"/>
      <c r="BL20" s="110"/>
      <c r="BM20" s="110"/>
      <c r="BN20" s="110"/>
      <c r="BO20" s="110"/>
      <c r="BP20" s="110"/>
      <c r="BQ20" s="110"/>
      <c r="BR20" s="110"/>
    </row>
    <row r="21" spans="2:70" ht="16.5" thickBot="1">
      <c r="B21" s="80" t="s">
        <v>78</v>
      </c>
      <c r="C21" s="80">
        <v>38517</v>
      </c>
      <c r="D21" s="30"/>
      <c r="E21" s="31" t="s">
        <v>19</v>
      </c>
      <c r="F21" s="78"/>
      <c r="G21" s="78"/>
      <c r="H21" s="162" t="s">
        <v>69</v>
      </c>
      <c r="I21" s="212">
        <f>'Your Predictions'!I21</f>
      </c>
      <c r="J21" s="42"/>
      <c r="K21" s="27" t="str">
        <f>VLOOKUP(BF21,BD19:BE22,2,FALSE)</f>
        <v>Ivory Coast</v>
      </c>
      <c r="L21" s="2">
        <f>VLOOKUP(K21,AR19:AZ22,2,FALSE)</f>
        <v>0</v>
      </c>
      <c r="M21" s="2">
        <f>VLOOKUP(K21,AR19:AZ22,3,FALSE)</f>
        <v>0</v>
      </c>
      <c r="N21" s="2">
        <f>VLOOKUP(K21,AR19:AZ22,4,FALSE)</f>
        <v>0</v>
      </c>
      <c r="O21" s="2">
        <f>VLOOKUP(K21,AR19:AZ22,5,FALSE)</f>
        <v>0</v>
      </c>
      <c r="P21" s="2">
        <f>VLOOKUP(K21,AR19:AZ22,6,FALSE)</f>
        <v>0</v>
      </c>
      <c r="Q21" s="2">
        <f>VLOOKUP(K21,AR19:AZ22,7,FALSE)</f>
        <v>0</v>
      </c>
      <c r="R21" s="2">
        <f>VLOOKUP(K21,AR19:AZ22,8,FALSE)</f>
        <v>0</v>
      </c>
      <c r="S21" s="2">
        <f>VLOOKUP(K21,AR19:AZ22,9,FALSE)</f>
        <v>0</v>
      </c>
      <c r="T21" s="212">
        <f>'Your Predictions'!T21</f>
      </c>
      <c r="U21" s="84"/>
      <c r="V21" s="225"/>
      <c r="W21" s="11"/>
      <c r="X21" s="111"/>
      <c r="Y21" s="113"/>
      <c r="Z21" s="113"/>
      <c r="AB21" s="112">
        <v>15</v>
      </c>
      <c r="AC21" s="138">
        <f>SUM($F$7:G21)</f>
        <v>0</v>
      </c>
      <c r="AD21" s="138">
        <f>IF(F21="","",ABS(AC21-'Your Predictions'!AC21))</f>
      </c>
      <c r="AE21" s="138"/>
      <c r="AF21" s="110">
        <f t="shared" si="0"/>
      </c>
      <c r="AG21" s="138">
        <f t="shared" si="1"/>
        <v>0</v>
      </c>
      <c r="AH21" s="138">
        <f t="shared" si="2"/>
        <v>0</v>
      </c>
      <c r="AI21" s="138">
        <f t="shared" si="3"/>
      </c>
      <c r="AJ21" s="138"/>
      <c r="AK21" s="138" t="str">
        <f t="shared" si="4"/>
        <v>draw</v>
      </c>
      <c r="AL21" s="110" t="str">
        <f t="shared" si="5"/>
        <v>draw</v>
      </c>
      <c r="AM21" s="138"/>
      <c r="AN21" s="139"/>
      <c r="AO21" s="139"/>
      <c r="AP21" s="139"/>
      <c r="AQ21" s="139"/>
      <c r="AR21" s="140" t="s">
        <v>58</v>
      </c>
      <c r="AS21" s="110">
        <f>COUNTIF($AF$7:$AI$54,AR21)</f>
        <v>0</v>
      </c>
      <c r="AT21" s="108">
        <f>COUNTIF(winners,AR21)</f>
        <v>0</v>
      </c>
      <c r="AU21" s="108">
        <f>AS21-(AT21+AV21)</f>
        <v>0</v>
      </c>
      <c r="AV21" s="108">
        <f>COUNTIF(losers,AR21)</f>
        <v>0</v>
      </c>
      <c r="AW21" s="108">
        <f>SUM(SerF)</f>
        <v>0</v>
      </c>
      <c r="AX21" s="108">
        <f>SUM(SerA)</f>
        <v>0</v>
      </c>
      <c r="AY21" s="108">
        <f>SUM(AW21-AX21)</f>
        <v>0</v>
      </c>
      <c r="AZ21" s="108">
        <f>SUM((AT21*3)+AU21)</f>
        <v>0</v>
      </c>
      <c r="BA21" s="108">
        <v>11</v>
      </c>
      <c r="BB21" s="108">
        <f>CODE(MID(AR21,2,1))</f>
        <v>101</v>
      </c>
      <c r="BC21" s="108">
        <f>CODE(AR21)</f>
        <v>83</v>
      </c>
      <c r="BD21" s="110">
        <f>SUM((AZ21*100)+(AY21*10)+(AW21)-(BC21/1000)-(BB21/10000)-(BA21/100000))</f>
        <v>-0.09321</v>
      </c>
      <c r="BE21" s="108" t="str">
        <f>AR21</f>
        <v>Serbia &amp; Montenegro</v>
      </c>
      <c r="BF21" s="141">
        <f>LARGE(BD19:BD22,3)</f>
        <v>-0.0849</v>
      </c>
      <c r="BG21" s="110"/>
      <c r="BH21" s="110"/>
      <c r="BI21" s="110"/>
      <c r="BJ21" s="110"/>
      <c r="BK21" s="110"/>
      <c r="BL21" s="110"/>
      <c r="BM21" s="110"/>
      <c r="BN21" s="110"/>
      <c r="BO21" s="110"/>
      <c r="BP21" s="110"/>
      <c r="BQ21" s="110"/>
      <c r="BR21" s="110"/>
    </row>
    <row r="22" spans="2:70" ht="16.5" thickBot="1">
      <c r="B22" s="170" t="s">
        <v>78</v>
      </c>
      <c r="C22" s="80">
        <v>38517</v>
      </c>
      <c r="D22" s="30"/>
      <c r="E22" s="31" t="s">
        <v>70</v>
      </c>
      <c r="F22" s="78"/>
      <c r="G22" s="78"/>
      <c r="H22" s="162" t="s">
        <v>71</v>
      </c>
      <c r="I22" s="212">
        <f>'Your Predictions'!I22</f>
      </c>
      <c r="J22" s="5"/>
      <c r="K22" s="27" t="str">
        <f>VLOOKUP(BF22,BD19:BE22,2,FALSE)</f>
        <v>Serbia &amp; Montenegro</v>
      </c>
      <c r="L22" s="2">
        <f>VLOOKUP(K22,AR19:AZ22,2,FALSE)</f>
        <v>0</v>
      </c>
      <c r="M22" s="2">
        <f>VLOOKUP(K22,AR19:AZ22,3,FALSE)</f>
        <v>0</v>
      </c>
      <c r="N22" s="2">
        <f>VLOOKUP(K22,AR19:AZ22,4,FALSE)</f>
        <v>0</v>
      </c>
      <c r="O22" s="2">
        <f>VLOOKUP(K22,AR19:AZ22,5,FALSE)</f>
        <v>0</v>
      </c>
      <c r="P22" s="2">
        <f>VLOOKUP(K22,AR19:AZ22,6,FALSE)</f>
        <v>0</v>
      </c>
      <c r="Q22" s="2">
        <f>VLOOKUP(K22,AR19:AZ22,7,FALSE)</f>
        <v>0</v>
      </c>
      <c r="R22" s="2">
        <f>VLOOKUP(K22,AR19:AZ22,8,FALSE)</f>
        <v>0</v>
      </c>
      <c r="S22" s="2">
        <f>VLOOKUP(K22,AR19:AZ22,9,FALSE)</f>
        <v>0</v>
      </c>
      <c r="T22" s="212">
        <f>'Your Predictions'!T22</f>
      </c>
      <c r="U22" s="84"/>
      <c r="V22" s="226"/>
      <c r="W22" s="41"/>
      <c r="X22" s="142"/>
      <c r="Y22" s="113"/>
      <c r="Z22" s="113"/>
      <c r="AB22" s="112">
        <v>16</v>
      </c>
      <c r="AC22" s="138">
        <f>SUM($F$7:G22)</f>
        <v>0</v>
      </c>
      <c r="AD22" s="138">
        <f>IF(F22="","",ABS(AC22-'Your Predictions'!AC22))</f>
      </c>
      <c r="AE22" s="138"/>
      <c r="AF22" s="110">
        <f t="shared" si="0"/>
      </c>
      <c r="AG22" s="138">
        <f t="shared" si="1"/>
        <v>0</v>
      </c>
      <c r="AH22" s="138">
        <f t="shared" si="2"/>
        <v>0</v>
      </c>
      <c r="AI22" s="138">
        <f t="shared" si="3"/>
      </c>
      <c r="AJ22" s="138"/>
      <c r="AK22" s="138" t="str">
        <f t="shared" si="4"/>
        <v>draw</v>
      </c>
      <c r="AL22" s="110" t="str">
        <f t="shared" si="5"/>
        <v>draw</v>
      </c>
      <c r="AM22" s="138"/>
      <c r="AN22" s="139"/>
      <c r="AO22" s="139"/>
      <c r="AP22" s="139"/>
      <c r="AQ22" s="139"/>
      <c r="AR22" s="140" t="s">
        <v>59</v>
      </c>
      <c r="AS22" s="110">
        <f>COUNTIF($AF$7:$AI$54,AR22)</f>
        <v>0</v>
      </c>
      <c r="AT22" s="108">
        <f>COUNTIF(winners,AR22)</f>
        <v>0</v>
      </c>
      <c r="AU22" s="108">
        <f>AS22-(AT22+AV22)</f>
        <v>0</v>
      </c>
      <c r="AV22" s="108">
        <f>COUNTIF(losers,AR22)</f>
        <v>0</v>
      </c>
      <c r="AW22" s="108">
        <f>SUM(HolF)</f>
        <v>0</v>
      </c>
      <c r="AX22" s="108">
        <f>SUM(HolA)</f>
        <v>0</v>
      </c>
      <c r="AY22" s="108">
        <f>SUM(AW22-AX22)</f>
        <v>0</v>
      </c>
      <c r="AZ22" s="108">
        <f>SUM((AT22*3)+AU22)</f>
        <v>0</v>
      </c>
      <c r="BA22" s="108">
        <v>12</v>
      </c>
      <c r="BB22" s="108">
        <f>CODE(MID(AR22,2,1))</f>
        <v>111</v>
      </c>
      <c r="BC22" s="108">
        <f>CODE(AR22)</f>
        <v>72</v>
      </c>
      <c r="BD22" s="110">
        <f>SUM((AZ22*100)+(AY22*10)+(AW22)-(BC22/1000)-(BB22/10000)-(BA22/100000))</f>
        <v>-0.08321999999999999</v>
      </c>
      <c r="BE22" s="108" t="str">
        <f>AR22</f>
        <v>Holland</v>
      </c>
      <c r="BF22" s="141">
        <f>LARGE(BD19:BD22,4)</f>
        <v>-0.09321</v>
      </c>
      <c r="BG22" s="110"/>
      <c r="BH22" s="110"/>
      <c r="BI22" s="110"/>
      <c r="BJ22" s="110"/>
      <c r="BK22" s="110"/>
      <c r="BL22" s="110"/>
      <c r="BM22" s="110"/>
      <c r="BN22" s="110"/>
      <c r="BO22" s="110"/>
      <c r="BP22" s="110"/>
      <c r="BQ22" s="110"/>
      <c r="BR22" s="110"/>
    </row>
    <row r="23" spans="2:70" ht="16.5" thickBot="1">
      <c r="B23" s="170" t="s">
        <v>78</v>
      </c>
      <c r="C23" s="80">
        <v>38517</v>
      </c>
      <c r="D23" s="30"/>
      <c r="E23" s="31" t="s">
        <v>28</v>
      </c>
      <c r="F23" s="78"/>
      <c r="G23" s="78"/>
      <c r="H23" s="162" t="s">
        <v>53</v>
      </c>
      <c r="I23" s="212">
        <f>'Your Predictions'!I23</f>
      </c>
      <c r="J23" s="32"/>
      <c r="K23" s="5"/>
      <c r="L23" s="4"/>
      <c r="M23" s="4"/>
      <c r="N23" s="4"/>
      <c r="O23" s="4"/>
      <c r="P23" s="4"/>
      <c r="Q23" s="4"/>
      <c r="R23" s="4"/>
      <c r="S23" s="4"/>
      <c r="T23" s="212"/>
      <c r="U23" s="86"/>
      <c r="V23" s="226"/>
      <c r="W23" s="11"/>
      <c r="X23" s="111"/>
      <c r="Y23" s="113"/>
      <c r="Z23" s="32"/>
      <c r="AB23" s="112">
        <v>17</v>
      </c>
      <c r="AC23" s="138">
        <f>SUM($F$7:G23)</f>
        <v>0</v>
      </c>
      <c r="AD23" s="138">
        <f>IF(F23="","",ABS(AC23-'Your Predictions'!AC23))</f>
      </c>
      <c r="AE23" s="138"/>
      <c r="AF23" s="110">
        <f t="shared" si="0"/>
      </c>
      <c r="AG23" s="138">
        <f t="shared" si="1"/>
        <v>0</v>
      </c>
      <c r="AH23" s="138">
        <f t="shared" si="2"/>
        <v>0</v>
      </c>
      <c r="AI23" s="138">
        <f t="shared" si="3"/>
      </c>
      <c r="AJ23" s="138"/>
      <c r="AK23" s="138" t="str">
        <f t="shared" si="4"/>
        <v>draw</v>
      </c>
      <c r="AL23" s="110" t="str">
        <f t="shared" si="5"/>
        <v>draw</v>
      </c>
      <c r="AM23" s="138"/>
      <c r="AN23" s="139"/>
      <c r="AO23" s="139"/>
      <c r="AP23" s="139"/>
      <c r="AQ23" s="139"/>
      <c r="AS23" s="110"/>
      <c r="AT23" s="108"/>
      <c r="AU23" s="108"/>
      <c r="AV23" s="108"/>
      <c r="AW23" s="108"/>
      <c r="AX23" s="108"/>
      <c r="AY23" s="108"/>
      <c r="AZ23" s="108"/>
      <c r="BA23" s="108"/>
      <c r="BB23" s="108"/>
      <c r="BC23" s="108"/>
      <c r="BD23" s="110"/>
      <c r="BE23" s="108" t="str">
        <f>AR24</f>
        <v>Group D</v>
      </c>
      <c r="BF23" s="144"/>
      <c r="BG23" s="108"/>
      <c r="BH23" s="108"/>
      <c r="BI23" s="108"/>
      <c r="BJ23" s="108"/>
      <c r="BK23" s="108"/>
      <c r="BL23" s="108"/>
      <c r="BM23" s="108"/>
      <c r="BN23" s="108"/>
      <c r="BO23" s="108"/>
      <c r="BP23" s="110"/>
      <c r="BQ23" s="108"/>
      <c r="BR23" s="110"/>
    </row>
    <row r="24" spans="2:70" ht="16.5" thickBot="1">
      <c r="B24" s="170" t="s">
        <v>79</v>
      </c>
      <c r="C24" s="80">
        <v>38518</v>
      </c>
      <c r="D24" s="49"/>
      <c r="E24" s="31" t="s">
        <v>54</v>
      </c>
      <c r="F24" s="78"/>
      <c r="G24" s="78"/>
      <c r="H24" s="162" t="s">
        <v>52</v>
      </c>
      <c r="I24" s="212">
        <f>'Your Predictions'!I24</f>
      </c>
      <c r="J24" s="26"/>
      <c r="K24" s="127" t="s">
        <v>32</v>
      </c>
      <c r="L24" s="129" t="s">
        <v>7</v>
      </c>
      <c r="M24" s="129" t="s">
        <v>8</v>
      </c>
      <c r="N24" s="129" t="s">
        <v>9</v>
      </c>
      <c r="O24" s="129" t="s">
        <v>10</v>
      </c>
      <c r="P24" s="129" t="s">
        <v>11</v>
      </c>
      <c r="Q24" s="129" t="s">
        <v>12</v>
      </c>
      <c r="R24" s="129" t="s">
        <v>13</v>
      </c>
      <c r="S24" s="129" t="s">
        <v>14</v>
      </c>
      <c r="T24" s="212"/>
      <c r="U24" s="6"/>
      <c r="V24" s="228" t="s">
        <v>101</v>
      </c>
      <c r="W24" s="21"/>
      <c r="X24" s="113"/>
      <c r="Y24" s="113"/>
      <c r="Z24" s="32"/>
      <c r="AB24" s="112">
        <v>18</v>
      </c>
      <c r="AC24" s="138">
        <f>SUM($F$7:G24)</f>
        <v>0</v>
      </c>
      <c r="AD24" s="138">
        <f>IF(F24="","",ABS(AC24-'Your Predictions'!AC24))</f>
      </c>
      <c r="AE24" s="138"/>
      <c r="AF24" s="110">
        <f t="shared" si="0"/>
      </c>
      <c r="AG24" s="138">
        <f t="shared" si="1"/>
        <v>0</v>
      </c>
      <c r="AH24" s="138">
        <f t="shared" si="2"/>
        <v>0</v>
      </c>
      <c r="AI24" s="138">
        <f t="shared" si="3"/>
      </c>
      <c r="AJ24" s="138"/>
      <c r="AK24" s="138" t="str">
        <f t="shared" si="4"/>
        <v>draw</v>
      </c>
      <c r="AL24" s="110" t="str">
        <f t="shared" si="5"/>
        <v>draw</v>
      </c>
      <c r="AM24" s="138"/>
      <c r="AN24" s="139"/>
      <c r="AO24" s="139"/>
      <c r="AP24" s="139"/>
      <c r="AQ24" s="139"/>
      <c r="AR24" s="143" t="s">
        <v>32</v>
      </c>
      <c r="AS24" s="108" t="s">
        <v>7</v>
      </c>
      <c r="AT24" s="108" t="s">
        <v>8</v>
      </c>
      <c r="AU24" s="108" t="s">
        <v>9</v>
      </c>
      <c r="AV24" s="108" t="s">
        <v>10</v>
      </c>
      <c r="AW24" s="108" t="s">
        <v>11</v>
      </c>
      <c r="AX24" s="108" t="s">
        <v>12</v>
      </c>
      <c r="AY24" s="108" t="s">
        <v>17</v>
      </c>
      <c r="AZ24" s="108" t="s">
        <v>14</v>
      </c>
      <c r="BA24" s="108"/>
      <c r="BB24" s="108"/>
      <c r="BC24" s="108"/>
      <c r="BD24" s="110"/>
      <c r="BE24" s="108"/>
      <c r="BF24" s="136"/>
      <c r="BG24" s="108"/>
      <c r="BH24" s="108"/>
      <c r="BI24" s="108"/>
      <c r="BJ24" s="108"/>
      <c r="BK24" s="108"/>
      <c r="BL24" s="108"/>
      <c r="BM24" s="108"/>
      <c r="BN24" s="108"/>
      <c r="BO24" s="108"/>
      <c r="BP24" s="108"/>
      <c r="BQ24" s="108"/>
      <c r="BR24" s="108"/>
    </row>
    <row r="25" spans="2:70" ht="16.5" thickBot="1">
      <c r="B25" s="170" t="s">
        <v>79</v>
      </c>
      <c r="C25" s="80">
        <v>38518</v>
      </c>
      <c r="D25" s="49"/>
      <c r="E25" s="31" t="s">
        <v>23</v>
      </c>
      <c r="F25" s="78"/>
      <c r="G25" s="78"/>
      <c r="H25" s="162" t="s">
        <v>56</v>
      </c>
      <c r="I25" s="212">
        <f>'Your Predictions'!I25</f>
      </c>
      <c r="J25" s="32"/>
      <c r="K25" s="27" t="str">
        <f>VLOOKUP(BF25,BD25:BE28,2,FALSE)</f>
        <v>Angola</v>
      </c>
      <c r="L25" s="2">
        <f>VLOOKUP(K25,AR25:AZ28,2,FALSE)</f>
        <v>0</v>
      </c>
      <c r="M25" s="2">
        <f>VLOOKUP(K25,AR25:AZ28,3,FALSE)</f>
        <v>0</v>
      </c>
      <c r="N25" s="2">
        <f>VLOOKUP(K25,AR25:AZ28,4,FALSE)</f>
        <v>0</v>
      </c>
      <c r="O25" s="2">
        <f>VLOOKUP(K25,AR25:AZ28,5,FALSE)</f>
        <v>0</v>
      </c>
      <c r="P25" s="2">
        <f>VLOOKUP(K25,AR25:AZ28,6,FALSE)</f>
        <v>0</v>
      </c>
      <c r="Q25" s="2">
        <f>VLOOKUP(K25,AR25:AZ28,7,FALSE)</f>
        <v>0</v>
      </c>
      <c r="R25" s="2">
        <f>VLOOKUP(K25,AR25:AZ28,8,FALSE)</f>
        <v>0</v>
      </c>
      <c r="S25" s="2">
        <f>VLOOKUP(K25,AR25:AZ28,9,FALSE)</f>
        <v>0</v>
      </c>
      <c r="T25" s="212">
        <f>'Your Predictions'!T25</f>
      </c>
      <c r="U25" s="84"/>
      <c r="V25" s="227" t="s">
        <v>100</v>
      </c>
      <c r="W25" s="21"/>
      <c r="X25" s="113"/>
      <c r="Y25" s="113"/>
      <c r="Z25" s="32"/>
      <c r="AB25" s="112">
        <v>19</v>
      </c>
      <c r="AC25" s="138">
        <f>SUM($F$7:G25)</f>
        <v>0</v>
      </c>
      <c r="AD25" s="138">
        <f>IF(F25="","",ABS(AC25-'Your Predictions'!AC25))</f>
      </c>
      <c r="AE25" s="138"/>
      <c r="AF25" s="110">
        <f t="shared" si="0"/>
      </c>
      <c r="AG25" s="138">
        <f t="shared" si="1"/>
        <v>0</v>
      </c>
      <c r="AH25" s="138">
        <f t="shared" si="2"/>
        <v>0</v>
      </c>
      <c r="AI25" s="138">
        <f t="shared" si="3"/>
      </c>
      <c r="AJ25" s="138"/>
      <c r="AK25" s="138" t="str">
        <f t="shared" si="4"/>
        <v>draw</v>
      </c>
      <c r="AL25" s="110" t="str">
        <f t="shared" si="5"/>
        <v>draw</v>
      </c>
      <c r="AM25" s="138"/>
      <c r="AN25" s="139"/>
      <c r="AO25" s="139"/>
      <c r="AP25" s="139"/>
      <c r="AQ25" s="139"/>
      <c r="AR25" s="140" t="s">
        <v>60</v>
      </c>
      <c r="AS25" s="110">
        <f>COUNTIF($AF$7:$AI$54,AR25)</f>
        <v>0</v>
      </c>
      <c r="AT25" s="108">
        <f>COUNTIF(winners,AR25)</f>
        <v>0</v>
      </c>
      <c r="AU25" s="108">
        <f>AS25-(AT25+AV25)</f>
        <v>0</v>
      </c>
      <c r="AV25" s="108">
        <f>COUNTIF(losers,AR25)</f>
        <v>0</v>
      </c>
      <c r="AW25" s="108">
        <f>SUM(MexF)</f>
        <v>0</v>
      </c>
      <c r="AX25" s="108">
        <f>SUM(MexA)</f>
        <v>0</v>
      </c>
      <c r="AY25" s="108">
        <f>SUM(AW25-AX25)</f>
        <v>0</v>
      </c>
      <c r="AZ25" s="108">
        <f>SUM((AT25*3)+AU25)</f>
        <v>0</v>
      </c>
      <c r="BA25" s="108">
        <v>13</v>
      </c>
      <c r="BB25" s="108">
        <f>CODE(MID(AR25,2,1))</f>
        <v>101</v>
      </c>
      <c r="BC25" s="108">
        <f>CODE(AR25)</f>
        <v>77</v>
      </c>
      <c r="BD25" s="110">
        <f>SUM((AZ25*100)+(AY25*10)+(AW25)-(BC25/1000)-(BB25/10000)-(BA25/100000))</f>
        <v>-0.08723</v>
      </c>
      <c r="BE25" s="108" t="str">
        <f>AR25</f>
        <v>Mexico</v>
      </c>
      <c r="BF25" s="141">
        <f>LARGE(BD25:BD28,1)</f>
        <v>-0.07615</v>
      </c>
      <c r="BG25" s="110"/>
      <c r="BH25" s="110"/>
      <c r="BI25" s="110"/>
      <c r="BJ25" s="110"/>
      <c r="BK25" s="110"/>
      <c r="BL25" s="110"/>
      <c r="BM25" s="110"/>
      <c r="BN25" s="110"/>
      <c r="BO25" s="110"/>
      <c r="BP25" s="108"/>
      <c r="BQ25" s="108"/>
      <c r="BR25" s="108"/>
    </row>
    <row r="26" spans="2:70" ht="16.5" thickBot="1">
      <c r="B26" s="170" t="s">
        <v>79</v>
      </c>
      <c r="C26" s="80">
        <v>38518</v>
      </c>
      <c r="D26" s="30"/>
      <c r="E26" s="31" t="s">
        <v>26</v>
      </c>
      <c r="F26" s="78"/>
      <c r="G26" s="78"/>
      <c r="H26" s="162" t="s">
        <v>55</v>
      </c>
      <c r="I26" s="212">
        <f>'Your Predictions'!I26</f>
      </c>
      <c r="J26" s="26"/>
      <c r="K26" s="27" t="str">
        <f>VLOOKUP(BF26,BD25:BE28,2,FALSE)</f>
        <v>Iran</v>
      </c>
      <c r="L26" s="2">
        <f>VLOOKUP(K26,AR25:AZ28,2,FALSE)</f>
        <v>0</v>
      </c>
      <c r="M26" s="2">
        <f>VLOOKUP(K26,AR25:AZ28,3,FALSE)</f>
        <v>0</v>
      </c>
      <c r="N26" s="2">
        <f>VLOOKUP(K26,AR25:AZ28,4,FALSE)</f>
        <v>0</v>
      </c>
      <c r="O26" s="2">
        <f>VLOOKUP(K26,AR25:AZ28,5,FALSE)</f>
        <v>0</v>
      </c>
      <c r="P26" s="2">
        <f>VLOOKUP(K26,AR25:AZ28,6,FALSE)</f>
        <v>0</v>
      </c>
      <c r="Q26" s="2">
        <f>VLOOKUP(K26,AR25:AZ28,7,FALSE)</f>
        <v>0</v>
      </c>
      <c r="R26" s="2">
        <f>VLOOKUP(K26,AR25:AZ28,8,FALSE)</f>
        <v>0</v>
      </c>
      <c r="S26" s="2">
        <f>VLOOKUP(K26,AR25:AZ28,9,FALSE)</f>
        <v>0</v>
      </c>
      <c r="T26" s="212">
        <f>'Your Predictions'!T26</f>
      </c>
      <c r="U26" s="84"/>
      <c r="V26" s="12"/>
      <c r="W26" s="41"/>
      <c r="X26" s="142"/>
      <c r="Y26" s="113"/>
      <c r="Z26" s="32"/>
      <c r="AB26" s="112">
        <v>20</v>
      </c>
      <c r="AC26" s="138">
        <f>SUM($F$7:G26)</f>
        <v>0</v>
      </c>
      <c r="AD26" s="138">
        <f>IF(F26="","",ABS(AC26-'Your Predictions'!AC26))</f>
      </c>
      <c r="AE26" s="138"/>
      <c r="AF26" s="110">
        <f t="shared" si="0"/>
      </c>
      <c r="AG26" s="138">
        <f t="shared" si="1"/>
        <v>0</v>
      </c>
      <c r="AH26" s="138">
        <f t="shared" si="2"/>
        <v>0</v>
      </c>
      <c r="AI26" s="138">
        <f t="shared" si="3"/>
      </c>
      <c r="AJ26" s="138"/>
      <c r="AK26" s="138" t="str">
        <f t="shared" si="4"/>
        <v>draw</v>
      </c>
      <c r="AL26" s="110" t="str">
        <f t="shared" si="5"/>
        <v>draw</v>
      </c>
      <c r="AM26" s="138"/>
      <c r="AN26" s="139"/>
      <c r="AO26" s="139"/>
      <c r="AP26" s="139"/>
      <c r="AQ26" s="139"/>
      <c r="AR26" s="140" t="s">
        <v>61</v>
      </c>
      <c r="AS26" s="110">
        <f>COUNTIF($AF$7:$AI$54,AR26)</f>
        <v>0</v>
      </c>
      <c r="AT26" s="108">
        <f>COUNTIF(winners,AR26)</f>
        <v>0</v>
      </c>
      <c r="AU26" s="108">
        <f>AS26-(AT26+AV26)</f>
        <v>0</v>
      </c>
      <c r="AV26" s="108">
        <f>COUNTIF(losers,AR26)</f>
        <v>0</v>
      </c>
      <c r="AW26" s="108">
        <f>SUM(IraF)</f>
        <v>0</v>
      </c>
      <c r="AX26" s="108">
        <f>SUM(IraA)</f>
        <v>0</v>
      </c>
      <c r="AY26" s="108">
        <f>SUM(AW26-AX26)</f>
        <v>0</v>
      </c>
      <c r="AZ26" s="108">
        <f>SUM((AT26*3)+AU26)</f>
        <v>0</v>
      </c>
      <c r="BA26" s="108">
        <v>14</v>
      </c>
      <c r="BB26" s="108">
        <f>CODE(MID(AR26,2,1))</f>
        <v>114</v>
      </c>
      <c r="BC26" s="108">
        <f>CODE(AR26)</f>
        <v>73</v>
      </c>
      <c r="BD26" s="110">
        <f>SUM((AZ26*100)+(AY26*10)+(AW26)-(BC26/1000)-(BB26/10000)-(BA26/100000))</f>
        <v>-0.08454</v>
      </c>
      <c r="BE26" s="108" t="str">
        <f>AR26</f>
        <v>Iran</v>
      </c>
      <c r="BF26" s="141">
        <f>LARGE(BD25:BD28,2)</f>
        <v>-0.08454</v>
      </c>
      <c r="BG26" s="110"/>
      <c r="BH26" s="110"/>
      <c r="BI26" s="110"/>
      <c r="BJ26" s="110"/>
      <c r="BK26" s="110"/>
      <c r="BL26" s="110"/>
      <c r="BM26" s="110"/>
      <c r="BN26" s="110"/>
      <c r="BO26" s="110"/>
      <c r="BP26" s="108"/>
      <c r="BQ26" s="108"/>
      <c r="BR26" s="108"/>
    </row>
    <row r="27" spans="2:70" ht="16.5" thickBot="1">
      <c r="B27" s="170" t="s">
        <v>73</v>
      </c>
      <c r="C27" s="80">
        <v>38519</v>
      </c>
      <c r="D27" s="30"/>
      <c r="E27" s="31" t="s">
        <v>72</v>
      </c>
      <c r="F27" s="78"/>
      <c r="G27" s="78"/>
      <c r="H27" s="162" t="s">
        <v>58</v>
      </c>
      <c r="I27" s="212">
        <f>'Your Predictions'!I27</f>
      </c>
      <c r="J27" s="34"/>
      <c r="K27" s="27" t="str">
        <f>VLOOKUP(BF27,BD25:BE28,2,FALSE)</f>
        <v>Mexico</v>
      </c>
      <c r="L27" s="2">
        <f>VLOOKUP(K27,AR25:AZ28,2,FALSE)</f>
        <v>0</v>
      </c>
      <c r="M27" s="2">
        <f>VLOOKUP(K27,AR25:AZ28,3,FALSE)</f>
        <v>0</v>
      </c>
      <c r="N27" s="2">
        <f>VLOOKUP(K27,AR25:AZ28,4,FALSE)</f>
        <v>0</v>
      </c>
      <c r="O27" s="2">
        <f>VLOOKUP(K27,AR25:AZ28,5,FALSE)</f>
        <v>0</v>
      </c>
      <c r="P27" s="2">
        <f>VLOOKUP(K27,AR25:AZ28,6,FALSE)</f>
        <v>0</v>
      </c>
      <c r="Q27" s="2">
        <f>VLOOKUP(K27,AR25:AZ28,7,FALSE)</f>
        <v>0</v>
      </c>
      <c r="R27" s="2">
        <f>VLOOKUP(K27,AR25:AZ28,8,FALSE)</f>
        <v>0</v>
      </c>
      <c r="S27" s="2">
        <f>VLOOKUP(K27,AR25:AZ28,9,FALSE)</f>
        <v>0</v>
      </c>
      <c r="T27" s="212">
        <f>'Your Predictions'!T27</f>
      </c>
      <c r="U27" s="84"/>
      <c r="V27" s="38"/>
      <c r="W27" s="11"/>
      <c r="X27" s="111"/>
      <c r="Y27" s="113"/>
      <c r="Z27" s="32"/>
      <c r="AB27" s="112">
        <v>21</v>
      </c>
      <c r="AC27" s="138">
        <f>SUM($F$7:G27)</f>
        <v>0</v>
      </c>
      <c r="AD27" s="138">
        <f>IF(F27="","",ABS(AC27-'Your Predictions'!AC27))</f>
      </c>
      <c r="AE27" s="138"/>
      <c r="AF27" s="110">
        <f t="shared" si="0"/>
      </c>
      <c r="AG27" s="138">
        <f t="shared" si="1"/>
        <v>0</v>
      </c>
      <c r="AH27" s="138">
        <f t="shared" si="2"/>
        <v>0</v>
      </c>
      <c r="AI27" s="138">
        <f t="shared" si="3"/>
      </c>
      <c r="AJ27" s="138"/>
      <c r="AK27" s="138" t="str">
        <f t="shared" si="4"/>
        <v>draw</v>
      </c>
      <c r="AL27" s="110" t="str">
        <f t="shared" si="5"/>
        <v>draw</v>
      </c>
      <c r="AM27" s="138"/>
      <c r="AN27" s="139"/>
      <c r="AO27" s="139"/>
      <c r="AP27" s="139"/>
      <c r="AQ27" s="139"/>
      <c r="AR27" s="140" t="s">
        <v>62</v>
      </c>
      <c r="AS27" s="110">
        <f>COUNTIF($AF$7:$AI$54,AR27)</f>
        <v>0</v>
      </c>
      <c r="AT27" s="108">
        <f>COUNTIF(winners,AR27)</f>
        <v>0</v>
      </c>
      <c r="AU27" s="108">
        <f>AS27-(AT27+AV27)</f>
        <v>0</v>
      </c>
      <c r="AV27" s="108">
        <f>COUNTIF(losers,AR27)</f>
        <v>0</v>
      </c>
      <c r="AW27" s="108">
        <f>SUM(AngF)</f>
        <v>0</v>
      </c>
      <c r="AX27" s="108">
        <f>SUM(AngA)</f>
        <v>0</v>
      </c>
      <c r="AY27" s="108">
        <f>SUM(AW27-AX27)</f>
        <v>0</v>
      </c>
      <c r="AZ27" s="108">
        <f>SUM((AT27*3)+AU27)</f>
        <v>0</v>
      </c>
      <c r="BA27" s="108">
        <v>15</v>
      </c>
      <c r="BB27" s="108">
        <f>CODE(MID(AR27,2,1))</f>
        <v>110</v>
      </c>
      <c r="BC27" s="108">
        <f>CODE(AR27)</f>
        <v>65</v>
      </c>
      <c r="BD27" s="110">
        <f>SUM((AZ27*100)+(AY27*10)+(AW27)-(BC27/1000)-(BB27/10000)-(BA27/100000))</f>
        <v>-0.07615</v>
      </c>
      <c r="BE27" s="108" t="str">
        <f>AR27</f>
        <v>Angola</v>
      </c>
      <c r="BF27" s="141">
        <f>LARGE(BD25:BD28,3)</f>
        <v>-0.08723</v>
      </c>
      <c r="BG27" s="110"/>
      <c r="BH27" s="110"/>
      <c r="BI27" s="110"/>
      <c r="BJ27" s="110"/>
      <c r="BK27" s="110"/>
      <c r="BL27" s="110"/>
      <c r="BM27" s="110"/>
      <c r="BN27" s="110"/>
      <c r="BO27" s="110"/>
      <c r="BP27" s="110"/>
      <c r="BQ27" s="108"/>
      <c r="BR27" s="110"/>
    </row>
    <row r="28" spans="2:70" ht="16.5" thickBot="1">
      <c r="B28" s="170" t="s">
        <v>73</v>
      </c>
      <c r="C28" s="80">
        <v>38519</v>
      </c>
      <c r="D28" s="30"/>
      <c r="E28" s="31" t="s">
        <v>59</v>
      </c>
      <c r="F28" s="78"/>
      <c r="G28" s="78"/>
      <c r="H28" s="162" t="s">
        <v>57</v>
      </c>
      <c r="I28" s="212">
        <f>'Your Predictions'!I28</f>
      </c>
      <c r="J28" s="35"/>
      <c r="K28" s="27" t="str">
        <f>VLOOKUP(BF28,BD25:BE28,2,FALSE)</f>
        <v>Portugal</v>
      </c>
      <c r="L28" s="2">
        <f>VLOOKUP(K28,AR25:AZ28,2,FALSE)</f>
        <v>0</v>
      </c>
      <c r="M28" s="2">
        <f>VLOOKUP(K28,AR25:AZ28,3,FALSE)</f>
        <v>0</v>
      </c>
      <c r="N28" s="2">
        <f>VLOOKUP(K28,AR25:AZ28,4,FALSE)</f>
        <v>0</v>
      </c>
      <c r="O28" s="2">
        <f>VLOOKUP(K28,AR25:AZ28,5,FALSE)</f>
        <v>0</v>
      </c>
      <c r="P28" s="2">
        <f>VLOOKUP(K28,AR25:AZ28,6,FALSE)</f>
        <v>0</v>
      </c>
      <c r="Q28" s="2">
        <f>VLOOKUP(K28,AR25:AZ28,7,FALSE)</f>
        <v>0</v>
      </c>
      <c r="R28" s="2">
        <f>VLOOKUP(K28,AR25:AZ28,8,FALSE)</f>
        <v>0</v>
      </c>
      <c r="S28" s="2">
        <f>VLOOKUP(K28,AR25:AZ28,9,FALSE)</f>
        <v>0</v>
      </c>
      <c r="T28" s="212">
        <f>'Your Predictions'!T28</f>
      </c>
      <c r="U28" s="84"/>
      <c r="V28" s="40"/>
      <c r="W28" s="11"/>
      <c r="X28" s="111"/>
      <c r="Y28" s="113"/>
      <c r="Z28" s="32"/>
      <c r="AB28" s="112">
        <v>22</v>
      </c>
      <c r="AC28" s="138">
        <f>SUM($F$7:G28)</f>
        <v>0</v>
      </c>
      <c r="AD28" s="138">
        <f>IF(F28="","",ABS(AC28-'Your Predictions'!AC28))</f>
      </c>
      <c r="AE28" s="138"/>
      <c r="AF28" s="110">
        <f t="shared" si="0"/>
      </c>
      <c r="AG28" s="138">
        <f t="shared" si="1"/>
        <v>0</v>
      </c>
      <c r="AH28" s="138">
        <f t="shared" si="2"/>
        <v>0</v>
      </c>
      <c r="AI28" s="138">
        <f t="shared" si="3"/>
      </c>
      <c r="AJ28" s="138"/>
      <c r="AK28" s="138" t="str">
        <f t="shared" si="4"/>
        <v>draw</v>
      </c>
      <c r="AL28" s="110" t="str">
        <f t="shared" si="5"/>
        <v>draw</v>
      </c>
      <c r="AM28" s="138"/>
      <c r="AN28" s="139"/>
      <c r="AO28" s="139"/>
      <c r="AP28" s="139"/>
      <c r="AQ28" s="139"/>
      <c r="AR28" s="140" t="s">
        <v>18</v>
      </c>
      <c r="AS28" s="110">
        <f>COUNTIF($AF$7:$AI$54,AR28)</f>
        <v>0</v>
      </c>
      <c r="AT28" s="108">
        <f>COUNTIF(winners,AR28)</f>
        <v>0</v>
      </c>
      <c r="AU28" s="108">
        <f>AS28-(AT28+AV28)</f>
        <v>0</v>
      </c>
      <c r="AV28" s="108">
        <f>COUNTIF(losers,AR28)</f>
        <v>0</v>
      </c>
      <c r="AW28" s="108">
        <f>SUM(PorF)</f>
        <v>0</v>
      </c>
      <c r="AX28" s="108">
        <f>SUM(PorA)</f>
        <v>0</v>
      </c>
      <c r="AY28" s="108">
        <f>SUM(AW28-AX28)</f>
        <v>0</v>
      </c>
      <c r="AZ28" s="108">
        <f>SUM((AT28*3)+AU28)</f>
        <v>0</v>
      </c>
      <c r="BA28" s="108">
        <v>16</v>
      </c>
      <c r="BB28" s="108">
        <f>CODE(MID(AR28,2,1))</f>
        <v>111</v>
      </c>
      <c r="BC28" s="108">
        <f>CODE(AR28)</f>
        <v>80</v>
      </c>
      <c r="BD28" s="110">
        <f>SUM((AZ28*100)+(AY28*10)+(AW28)-(BC28/1000)-(BB28/10000)-(BA28/100000))</f>
        <v>-0.09126</v>
      </c>
      <c r="BE28" s="108" t="str">
        <f>AR28</f>
        <v>Portugal</v>
      </c>
      <c r="BF28" s="141">
        <f>LARGE(BD25:BD28,4)</f>
        <v>-0.09126</v>
      </c>
      <c r="BG28" s="110"/>
      <c r="BH28" s="110"/>
      <c r="BI28" s="110"/>
      <c r="BJ28" s="110"/>
      <c r="BK28" s="110"/>
      <c r="BL28" s="110"/>
      <c r="BM28" s="110"/>
      <c r="BN28" s="110"/>
      <c r="BO28" s="110"/>
      <c r="BP28" s="110"/>
      <c r="BQ28" s="108"/>
      <c r="BR28" s="110"/>
    </row>
    <row r="29" spans="2:70" ht="16.5" thickBot="1">
      <c r="B29" s="170" t="s">
        <v>73</v>
      </c>
      <c r="C29" s="80">
        <v>38519</v>
      </c>
      <c r="D29" s="30"/>
      <c r="E29" s="31" t="s">
        <v>60</v>
      </c>
      <c r="F29" s="78"/>
      <c r="G29" s="78"/>
      <c r="H29" s="162" t="s">
        <v>62</v>
      </c>
      <c r="I29" s="212">
        <f>'Your Predictions'!I29</f>
      </c>
      <c r="J29" s="34"/>
      <c r="K29" s="5"/>
      <c r="L29" s="4"/>
      <c r="M29" s="4"/>
      <c r="N29" s="4"/>
      <c r="O29" s="4"/>
      <c r="P29" s="4"/>
      <c r="Q29" s="4"/>
      <c r="R29" s="4"/>
      <c r="S29" s="4"/>
      <c r="T29" s="212"/>
      <c r="U29" s="6"/>
      <c r="V29" s="43"/>
      <c r="W29" s="11"/>
      <c r="X29" s="111"/>
      <c r="Y29" s="113"/>
      <c r="Z29" s="32"/>
      <c r="AB29" s="112">
        <v>23</v>
      </c>
      <c r="AC29" s="138">
        <f>SUM($F$7:G29)</f>
        <v>0</v>
      </c>
      <c r="AD29" s="138">
        <f>IF(F29="","",ABS(AC29-'Your Predictions'!AC29))</f>
      </c>
      <c r="AE29" s="138"/>
      <c r="AF29" s="110">
        <f t="shared" si="0"/>
      </c>
      <c r="AG29" s="138">
        <f t="shared" si="1"/>
        <v>0</v>
      </c>
      <c r="AH29" s="138">
        <f t="shared" si="2"/>
        <v>0</v>
      </c>
      <c r="AI29" s="138">
        <f t="shared" si="3"/>
      </c>
      <c r="AJ29" s="138"/>
      <c r="AK29" s="138" t="str">
        <f t="shared" si="4"/>
        <v>draw</v>
      </c>
      <c r="AL29" s="110" t="str">
        <f t="shared" si="5"/>
        <v>draw</v>
      </c>
      <c r="AM29" s="138"/>
      <c r="AN29" s="139"/>
      <c r="AO29" s="139"/>
      <c r="AP29" s="139"/>
      <c r="AQ29" s="139"/>
      <c r="AR29" s="108"/>
      <c r="AS29" s="110"/>
      <c r="AT29" s="108"/>
      <c r="AU29" s="108"/>
      <c r="AV29" s="108"/>
      <c r="AW29" s="108"/>
      <c r="AX29" s="108"/>
      <c r="AY29" s="108"/>
      <c r="AZ29" s="108"/>
      <c r="BA29" s="108"/>
      <c r="BB29" s="108"/>
      <c r="BC29" s="108"/>
      <c r="BD29" s="110"/>
      <c r="BE29" s="108"/>
      <c r="BF29" s="136"/>
      <c r="BG29" s="108"/>
      <c r="BH29" s="108"/>
      <c r="BI29" s="108"/>
      <c r="BJ29" s="108"/>
      <c r="BK29" s="108"/>
      <c r="BL29" s="108"/>
      <c r="BM29" s="108"/>
      <c r="BN29" s="108"/>
      <c r="BO29" s="108"/>
      <c r="BP29" s="110"/>
      <c r="BQ29" s="108"/>
      <c r="BR29" s="110"/>
    </row>
    <row r="30" spans="2:70" ht="16.5" thickBot="1">
      <c r="B30" s="170" t="s">
        <v>74</v>
      </c>
      <c r="C30" s="80">
        <v>38520</v>
      </c>
      <c r="D30" s="30"/>
      <c r="E30" s="31" t="s">
        <v>18</v>
      </c>
      <c r="F30" s="78"/>
      <c r="G30" s="78"/>
      <c r="H30" s="162" t="s">
        <v>61</v>
      </c>
      <c r="I30" s="212">
        <f>'Your Predictions'!I30</f>
      </c>
      <c r="J30" s="35"/>
      <c r="K30" s="127" t="s">
        <v>81</v>
      </c>
      <c r="L30" s="129" t="s">
        <v>7</v>
      </c>
      <c r="M30" s="129" t="s">
        <v>8</v>
      </c>
      <c r="N30" s="129" t="s">
        <v>9</v>
      </c>
      <c r="O30" s="129" t="s">
        <v>10</v>
      </c>
      <c r="P30" s="129" t="s">
        <v>11</v>
      </c>
      <c r="Q30" s="129" t="s">
        <v>12</v>
      </c>
      <c r="R30" s="129" t="s">
        <v>13</v>
      </c>
      <c r="S30" s="129" t="s">
        <v>14</v>
      </c>
      <c r="T30" s="212"/>
      <c r="U30" s="10"/>
      <c r="V30" s="40"/>
      <c r="W30" s="41"/>
      <c r="X30" s="142"/>
      <c r="Y30" s="113"/>
      <c r="Z30" s="32"/>
      <c r="AB30" s="112">
        <v>24</v>
      </c>
      <c r="AC30" s="138">
        <f>SUM($F$7:G30)</f>
        <v>0</v>
      </c>
      <c r="AD30" s="138">
        <f>IF(F30="","",ABS(AC30-'Your Predictions'!AC30))</f>
      </c>
      <c r="AE30" s="138"/>
      <c r="AF30" s="110">
        <f t="shared" si="0"/>
      </c>
      <c r="AG30" s="138">
        <f t="shared" si="1"/>
        <v>0</v>
      </c>
      <c r="AH30" s="138">
        <f t="shared" si="2"/>
        <v>0</v>
      </c>
      <c r="AI30" s="138">
        <f t="shared" si="3"/>
      </c>
      <c r="AJ30" s="138"/>
      <c r="AK30" s="138" t="str">
        <f t="shared" si="4"/>
        <v>draw</v>
      </c>
      <c r="AL30" s="110" t="str">
        <f t="shared" si="5"/>
        <v>draw</v>
      </c>
      <c r="AM30" s="138"/>
      <c r="AN30" s="139"/>
      <c r="AO30" s="139"/>
      <c r="AP30" s="139"/>
      <c r="AQ30" s="139"/>
      <c r="AR30" s="143" t="s">
        <v>81</v>
      </c>
      <c r="AS30" s="108" t="s">
        <v>7</v>
      </c>
      <c r="AT30" s="108" t="s">
        <v>8</v>
      </c>
      <c r="AU30" s="108" t="s">
        <v>9</v>
      </c>
      <c r="AV30" s="108" t="s">
        <v>10</v>
      </c>
      <c r="AW30" s="108" t="s">
        <v>11</v>
      </c>
      <c r="AX30" s="108" t="s">
        <v>12</v>
      </c>
      <c r="AY30" s="108" t="s">
        <v>17</v>
      </c>
      <c r="AZ30" s="108" t="s">
        <v>14</v>
      </c>
      <c r="BA30" s="108"/>
      <c r="BB30" s="108"/>
      <c r="BC30" s="108"/>
      <c r="BD30" s="110"/>
      <c r="BE30" s="108"/>
      <c r="BF30" s="136"/>
      <c r="BG30" s="108"/>
      <c r="BH30" s="108"/>
      <c r="BI30" s="108"/>
      <c r="BJ30" s="108"/>
      <c r="BK30" s="108"/>
      <c r="BL30" s="108"/>
      <c r="BM30" s="108"/>
      <c r="BN30" s="108"/>
      <c r="BO30" s="108"/>
      <c r="BP30" s="110"/>
      <c r="BQ30" s="108"/>
      <c r="BR30" s="110"/>
    </row>
    <row r="31" spans="2:70" ht="16.5" thickBot="1">
      <c r="B31" s="170" t="s">
        <v>74</v>
      </c>
      <c r="C31" s="80">
        <v>38520</v>
      </c>
      <c r="D31" s="30"/>
      <c r="E31" s="31" t="s">
        <v>24</v>
      </c>
      <c r="F31" s="78"/>
      <c r="G31" s="78"/>
      <c r="H31" s="162" t="s">
        <v>64</v>
      </c>
      <c r="I31" s="212">
        <f>'Your Predictions'!I31</f>
      </c>
      <c r="J31" s="36"/>
      <c r="K31" s="27" t="str">
        <f>VLOOKUP(BF31,BD31:BE34,2,FALSE)</f>
        <v>Czech Republic</v>
      </c>
      <c r="L31" s="2">
        <f>VLOOKUP(K31,AR31:AZ34,2,FALSE)</f>
        <v>0</v>
      </c>
      <c r="M31" s="2">
        <f>VLOOKUP(K31,AR31:AZ34,3,FALSE)</f>
        <v>0</v>
      </c>
      <c r="N31" s="2">
        <f>VLOOKUP(K31,AR31:AZ34,4,FALSE)</f>
        <v>0</v>
      </c>
      <c r="O31" s="2">
        <f>VLOOKUP(K31,AR31:AZ34,5,FALSE)</f>
        <v>0</v>
      </c>
      <c r="P31" s="2">
        <f>VLOOKUP(K31,AR31:AZ34,6,FALSE)</f>
        <v>0</v>
      </c>
      <c r="Q31" s="2">
        <f>VLOOKUP(K31,AR31:AZ34,7,FALSE)</f>
        <v>0</v>
      </c>
      <c r="R31" s="2">
        <f>VLOOKUP(K31,AR31:AZ34,8,FALSE)</f>
        <v>0</v>
      </c>
      <c r="S31" s="2">
        <f>VLOOKUP(K31,AR31:AZ34,9,FALSE)</f>
        <v>0</v>
      </c>
      <c r="T31" s="212">
        <f>'Your Predictions'!T31</f>
      </c>
      <c r="U31" s="10"/>
      <c r="V31" s="103"/>
      <c r="W31" s="11"/>
      <c r="X31" s="111"/>
      <c r="Y31" s="113"/>
      <c r="Z31" s="32"/>
      <c r="AA31" s="110"/>
      <c r="AB31" s="112">
        <v>25</v>
      </c>
      <c r="AC31" s="138">
        <f>SUM($F$7:G31)</f>
        <v>0</v>
      </c>
      <c r="AD31" s="138">
        <f>IF(F31="","",ABS(AC31-'Your Predictions'!AC31))</f>
      </c>
      <c r="AE31" s="138"/>
      <c r="AF31" s="110">
        <f t="shared" si="0"/>
      </c>
      <c r="AG31" s="138">
        <f t="shared" si="1"/>
        <v>0</v>
      </c>
      <c r="AH31" s="138">
        <f t="shared" si="2"/>
        <v>0</v>
      </c>
      <c r="AI31" s="138">
        <f t="shared" si="3"/>
      </c>
      <c r="AJ31" s="138"/>
      <c r="AK31" s="138" t="str">
        <f t="shared" si="4"/>
        <v>draw</v>
      </c>
      <c r="AL31" s="110" t="str">
        <f t="shared" si="5"/>
        <v>draw</v>
      </c>
      <c r="AM31" s="138"/>
      <c r="AN31" s="139"/>
      <c r="AO31" s="139"/>
      <c r="AP31" s="139"/>
      <c r="AQ31" s="139"/>
      <c r="AR31" s="108" t="s">
        <v>24</v>
      </c>
      <c r="AS31" s="110">
        <f>COUNTIF($AF$7:$AI$54,AR31)</f>
        <v>0</v>
      </c>
      <c r="AT31" s="108">
        <f>COUNTIF(winners,AR31)</f>
        <v>0</v>
      </c>
      <c r="AU31" s="108">
        <f>AS31-(AT31+AV31)</f>
        <v>0</v>
      </c>
      <c r="AV31" s="108">
        <f>COUNTIF(losers,AR31)</f>
        <v>0</v>
      </c>
      <c r="AW31" s="108">
        <f>SUM(ItaF)</f>
        <v>0</v>
      </c>
      <c r="AX31" s="108">
        <f>SUM(ItaA)</f>
        <v>0</v>
      </c>
      <c r="AY31" s="108">
        <f>SUM(AW31-AX31)</f>
        <v>0</v>
      </c>
      <c r="AZ31" s="108">
        <f>SUM((AT31*3)+AU31)</f>
        <v>0</v>
      </c>
      <c r="BA31" s="108">
        <v>17</v>
      </c>
      <c r="BB31" s="108">
        <f>CODE(MID(AR31,2,1))</f>
        <v>116</v>
      </c>
      <c r="BC31" s="108">
        <f>CODE(AR31)</f>
        <v>73</v>
      </c>
      <c r="BD31" s="110">
        <f>SUM((AZ31*100)+(AY31*10)+(AW31)-(BC31/1000)-(BB31/10000)-(BA31/100000))</f>
        <v>-0.08477</v>
      </c>
      <c r="BE31" s="108" t="str">
        <f>AR31</f>
        <v>Italy</v>
      </c>
      <c r="BF31" s="141">
        <f>LARGE(BD31:BD34,1)</f>
        <v>-0.07940000000000001</v>
      </c>
      <c r="BG31" s="110"/>
      <c r="BH31" s="110"/>
      <c r="BI31" s="110"/>
      <c r="BJ31" s="110"/>
      <c r="BK31" s="110"/>
      <c r="BL31" s="110"/>
      <c r="BM31" s="110"/>
      <c r="BN31" s="110"/>
      <c r="BO31" s="110"/>
      <c r="BP31" s="108"/>
      <c r="BQ31" s="108"/>
      <c r="BR31" s="108"/>
    </row>
    <row r="32" spans="2:70" ht="16.5" thickBot="1">
      <c r="B32" s="170" t="s">
        <v>74</v>
      </c>
      <c r="C32" s="80">
        <v>38520</v>
      </c>
      <c r="D32" s="30"/>
      <c r="E32" s="31" t="s">
        <v>27</v>
      </c>
      <c r="F32" s="78"/>
      <c r="G32" s="78"/>
      <c r="H32" s="162" t="s">
        <v>63</v>
      </c>
      <c r="I32" s="212">
        <f>'Your Predictions'!I32</f>
      </c>
      <c r="J32" s="36"/>
      <c r="K32" s="27" t="str">
        <f>VLOOKUP(BF32,BD31:BE34,2,FALSE)</f>
        <v>Ghana</v>
      </c>
      <c r="L32" s="2">
        <f>VLOOKUP(K32,AR31:AZ34,2,FALSE)</f>
        <v>0</v>
      </c>
      <c r="M32" s="2">
        <f>VLOOKUP(K32,AR31:AZ34,3,FALSE)</f>
        <v>0</v>
      </c>
      <c r="N32" s="2">
        <f>VLOOKUP(K32,AR31:AZ34,4,FALSE)</f>
        <v>0</v>
      </c>
      <c r="O32" s="2">
        <f>VLOOKUP(K32,AR31:AZ34,5,FALSE)</f>
        <v>0</v>
      </c>
      <c r="P32" s="2">
        <f>VLOOKUP(K32,AR31:AZ34,6,FALSE)</f>
        <v>0</v>
      </c>
      <c r="Q32" s="2">
        <f>VLOOKUP(K32,AR31:AZ34,7,FALSE)</f>
        <v>0</v>
      </c>
      <c r="R32" s="2">
        <f>VLOOKUP(K32,AR31:AZ34,8,FALSE)</f>
        <v>0</v>
      </c>
      <c r="S32" s="2">
        <f>VLOOKUP(K32,AR31:AZ34,9,FALSE)</f>
        <v>0</v>
      </c>
      <c r="T32" s="212">
        <f>'Your Predictions'!T32</f>
      </c>
      <c r="U32" s="10"/>
      <c r="V32" s="44" t="s">
        <v>30</v>
      </c>
      <c r="W32" s="11"/>
      <c r="X32" s="111"/>
      <c r="Y32" s="113"/>
      <c r="Z32" s="32"/>
      <c r="AA32" s="110"/>
      <c r="AB32" s="112">
        <v>26</v>
      </c>
      <c r="AC32" s="138">
        <f>SUM($F$7:G32)</f>
        <v>0</v>
      </c>
      <c r="AD32" s="138">
        <f>IF(F32="","",ABS(AC32-'Your Predictions'!AC32))</f>
      </c>
      <c r="AE32" s="138"/>
      <c r="AF32" s="110">
        <f t="shared" si="0"/>
      </c>
      <c r="AG32" s="138">
        <f t="shared" si="1"/>
        <v>0</v>
      </c>
      <c r="AH32" s="138">
        <f t="shared" si="2"/>
        <v>0</v>
      </c>
      <c r="AI32" s="138">
        <f t="shared" si="3"/>
      </c>
      <c r="AJ32" s="138"/>
      <c r="AK32" s="138" t="str">
        <f t="shared" si="4"/>
        <v>draw</v>
      </c>
      <c r="AL32" s="110" t="str">
        <f t="shared" si="5"/>
        <v>draw</v>
      </c>
      <c r="AM32" s="138"/>
      <c r="AN32" s="139"/>
      <c r="AO32" s="139"/>
      <c r="AP32" s="139"/>
      <c r="AQ32" s="139"/>
      <c r="AR32" s="108" t="s">
        <v>63</v>
      </c>
      <c r="AS32" s="110">
        <f>COUNTIF($AF$7:$AI$54,AR32)</f>
        <v>0</v>
      </c>
      <c r="AT32" s="108">
        <f>COUNTIF(winners,AR32)</f>
        <v>0</v>
      </c>
      <c r="AU32" s="108">
        <f>AS32-(AT32+AV32)</f>
        <v>0</v>
      </c>
      <c r="AV32" s="108">
        <f>COUNTIF(losers,AR32)</f>
        <v>0</v>
      </c>
      <c r="AW32" s="108">
        <f>SUM(GhaF)</f>
        <v>0</v>
      </c>
      <c r="AX32" s="108">
        <f>SUM(GhaA)</f>
        <v>0</v>
      </c>
      <c r="AY32" s="108">
        <f>SUM(AW32-AX32)</f>
        <v>0</v>
      </c>
      <c r="AZ32" s="108">
        <f>SUM((AT32*3)+AU32)</f>
        <v>0</v>
      </c>
      <c r="BA32" s="108">
        <v>18</v>
      </c>
      <c r="BB32" s="108">
        <f>CODE(MID(AR32,2,1))</f>
        <v>104</v>
      </c>
      <c r="BC32" s="108">
        <f>CODE(AR32)</f>
        <v>71</v>
      </c>
      <c r="BD32" s="110">
        <f>SUM((AZ32*100)+(AY32*10)+(AW32)-(BC32/1000)-(BB32/10000)-(BA32/100000))</f>
        <v>-0.08158</v>
      </c>
      <c r="BE32" s="108" t="str">
        <f>AR32</f>
        <v>Ghana</v>
      </c>
      <c r="BF32" s="141">
        <f>LARGE(BD31:BD34,2)</f>
        <v>-0.08158</v>
      </c>
      <c r="BG32" s="110"/>
      <c r="BH32" s="110"/>
      <c r="BI32" s="110"/>
      <c r="BJ32" s="110"/>
      <c r="BK32" s="110"/>
      <c r="BL32" s="110"/>
      <c r="BM32" s="110"/>
      <c r="BN32" s="110"/>
      <c r="BO32" s="110"/>
      <c r="BP32" s="108"/>
      <c r="BQ32" s="108"/>
      <c r="BR32" s="108"/>
    </row>
    <row r="33" spans="2:70" ht="16.5" thickBot="1">
      <c r="B33" s="171" t="s">
        <v>75</v>
      </c>
      <c r="C33" s="80">
        <v>38521</v>
      </c>
      <c r="D33" s="30"/>
      <c r="E33" s="31" t="s">
        <v>83</v>
      </c>
      <c r="F33" s="78"/>
      <c r="G33" s="78"/>
      <c r="H33" s="163" t="s">
        <v>65</v>
      </c>
      <c r="I33" s="212">
        <f>'Your Predictions'!I33</f>
      </c>
      <c r="J33" s="36"/>
      <c r="K33" s="27" t="str">
        <f>VLOOKUP(BF33,BD31:BE34,2,FALSE)</f>
        <v>Italy</v>
      </c>
      <c r="L33" s="2">
        <f>VLOOKUP(K33,AR31:AZ34,2,FALSE)</f>
        <v>0</v>
      </c>
      <c r="M33" s="2">
        <f>VLOOKUP(K33,AR31:AZ34,3,FALSE)</f>
        <v>0</v>
      </c>
      <c r="N33" s="2">
        <f>VLOOKUP(K33,AR31:AZ34,4,FALSE)</f>
        <v>0</v>
      </c>
      <c r="O33" s="2">
        <f>VLOOKUP(K33,AR31:AZ34,5,FALSE)</f>
        <v>0</v>
      </c>
      <c r="P33" s="2">
        <f>VLOOKUP(K33,AR31:AZ34,6,FALSE)</f>
        <v>0</v>
      </c>
      <c r="Q33" s="2">
        <f>VLOOKUP(K33,AR31:AZ34,7,FALSE)</f>
        <v>0</v>
      </c>
      <c r="R33" s="2">
        <f>VLOOKUP(K33,AR31:AZ34,8,FALSE)</f>
        <v>0</v>
      </c>
      <c r="S33" s="2">
        <f>VLOOKUP(K33,AR31:AZ34,9,FALSE)</f>
        <v>0</v>
      </c>
      <c r="T33" s="212">
        <f>'Your Predictions'!T33</f>
      </c>
      <c r="U33" s="10"/>
      <c r="V33" s="44" t="s">
        <v>31</v>
      </c>
      <c r="W33" s="11"/>
      <c r="X33" s="111"/>
      <c r="Y33" s="113"/>
      <c r="Z33" s="32"/>
      <c r="AA33" s="110"/>
      <c r="AB33" s="112">
        <v>27</v>
      </c>
      <c r="AC33" s="138">
        <f>SUM($F$7:G33)</f>
        <v>0</v>
      </c>
      <c r="AD33" s="138">
        <f>IF(F33="","",ABS(AC33-'Your Predictions'!AC33))</f>
      </c>
      <c r="AE33" s="138"/>
      <c r="AF33" s="110">
        <f t="shared" si="0"/>
      </c>
      <c r="AG33" s="138">
        <f t="shared" si="1"/>
        <v>0</v>
      </c>
      <c r="AH33" s="138">
        <f t="shared" si="2"/>
        <v>0</v>
      </c>
      <c r="AI33" s="138">
        <f t="shared" si="3"/>
      </c>
      <c r="AJ33" s="138"/>
      <c r="AK33" s="138" t="str">
        <f t="shared" si="4"/>
        <v>draw</v>
      </c>
      <c r="AL33" s="110" t="str">
        <f t="shared" si="5"/>
        <v>draw</v>
      </c>
      <c r="AM33" s="138"/>
      <c r="AN33" s="139"/>
      <c r="AO33" s="139"/>
      <c r="AP33" s="139"/>
      <c r="AQ33" s="139"/>
      <c r="AR33" s="108" t="s">
        <v>64</v>
      </c>
      <c r="AS33" s="110">
        <f>COUNTIF($AF$7:$AI$54,AR33)</f>
        <v>0</v>
      </c>
      <c r="AT33" s="108">
        <f>COUNTIF(winners,AR33)</f>
        <v>0</v>
      </c>
      <c r="AU33" s="108">
        <f>AS33-(AT33+AV33)</f>
        <v>0</v>
      </c>
      <c r="AV33" s="108">
        <f>COUNTIF(losers,AR33)</f>
        <v>0</v>
      </c>
      <c r="AW33" s="108">
        <f>SUM(USAF)</f>
        <v>0</v>
      </c>
      <c r="AX33" s="108">
        <f>SUM(USAA)</f>
        <v>0</v>
      </c>
      <c r="AY33" s="108">
        <f>SUM(AW33-AX33)</f>
        <v>0</v>
      </c>
      <c r="AZ33" s="108">
        <f>SUM((AT33*3)+AU33)</f>
        <v>0</v>
      </c>
      <c r="BA33" s="108">
        <v>19</v>
      </c>
      <c r="BB33" s="108">
        <f>CODE(MID(AR33,2,1))</f>
        <v>83</v>
      </c>
      <c r="BC33" s="108">
        <f>CODE(AR33)</f>
        <v>85</v>
      </c>
      <c r="BD33" s="110">
        <f>SUM((AZ33*100)+(AY33*10)+(AW33)-(BC33/1000)-(BB33/10000)-(BA33/100000))</f>
        <v>-0.09349</v>
      </c>
      <c r="BE33" s="108" t="str">
        <f>AR33</f>
        <v>USA</v>
      </c>
      <c r="BF33" s="141">
        <f>LARGE(BD31:BD34,3)</f>
        <v>-0.08477</v>
      </c>
      <c r="BG33" s="110"/>
      <c r="BH33" s="110"/>
      <c r="BI33" s="110"/>
      <c r="BJ33" s="110"/>
      <c r="BK33" s="110"/>
      <c r="BL33" s="110"/>
      <c r="BM33" s="110"/>
      <c r="BN33" s="110"/>
      <c r="BO33" s="110"/>
      <c r="BP33" s="108"/>
      <c r="BQ33" s="108"/>
      <c r="BR33" s="108"/>
    </row>
    <row r="34" spans="2:70" ht="16.5" thickBot="1">
      <c r="B34" s="171" t="s">
        <v>75</v>
      </c>
      <c r="C34" s="80">
        <v>38521</v>
      </c>
      <c r="D34" s="30"/>
      <c r="E34" s="31" t="s">
        <v>66</v>
      </c>
      <c r="F34" s="78"/>
      <c r="G34" s="78"/>
      <c r="H34" s="162" t="s">
        <v>21</v>
      </c>
      <c r="I34" s="212">
        <f>'Your Predictions'!I34</f>
      </c>
      <c r="J34" s="36"/>
      <c r="K34" s="27" t="str">
        <f>VLOOKUP(BF34,BD31:BE34,2,FALSE)</f>
        <v>USA</v>
      </c>
      <c r="L34" s="2">
        <f>VLOOKUP(K34,AR31:AZ34,2,FALSE)</f>
        <v>0</v>
      </c>
      <c r="M34" s="2">
        <f>VLOOKUP(K34,AR31:AZ34,3,FALSE)</f>
        <v>0</v>
      </c>
      <c r="N34" s="2">
        <f>VLOOKUP(K34,AR31:AZ34,4,FALSE)</f>
        <v>0</v>
      </c>
      <c r="O34" s="2">
        <f>VLOOKUP(K34,AR31:AZ34,5,FALSE)</f>
        <v>0</v>
      </c>
      <c r="P34" s="2">
        <f>VLOOKUP(K34,AR31:AZ34,6,FALSE)</f>
        <v>0</v>
      </c>
      <c r="Q34" s="2">
        <f>VLOOKUP(K34,AR31:AZ34,7,FALSE)</f>
        <v>0</v>
      </c>
      <c r="R34" s="2">
        <f>VLOOKUP(K34,AR31:AZ34,8,FALSE)</f>
        <v>0</v>
      </c>
      <c r="S34" s="2">
        <f>VLOOKUP(K34,AR31:AZ34,9,FALSE)</f>
        <v>0</v>
      </c>
      <c r="T34" s="212">
        <f>'Your Predictions'!T34</f>
      </c>
      <c r="U34" s="10"/>
      <c r="V34" s="50"/>
      <c r="W34" s="11"/>
      <c r="X34" s="111"/>
      <c r="Y34" s="113"/>
      <c r="Z34" s="32"/>
      <c r="AA34" s="110"/>
      <c r="AB34" s="112">
        <v>28</v>
      </c>
      <c r="AC34" s="138">
        <f>SUM($F$7:G34)</f>
        <v>0</v>
      </c>
      <c r="AD34" s="138">
        <f>IF(F34="","",ABS(AC34-'Your Predictions'!AC34))</f>
      </c>
      <c r="AE34" s="138"/>
      <c r="AF34" s="110">
        <f t="shared" si="0"/>
      </c>
      <c r="AG34" s="138">
        <f t="shared" si="1"/>
        <v>0</v>
      </c>
      <c r="AH34" s="138">
        <f t="shared" si="2"/>
        <v>0</v>
      </c>
      <c r="AI34" s="138">
        <f t="shared" si="3"/>
      </c>
      <c r="AJ34" s="138"/>
      <c r="AK34" s="138" t="str">
        <f t="shared" si="4"/>
        <v>draw</v>
      </c>
      <c r="AL34" s="110" t="str">
        <f t="shared" si="5"/>
        <v>draw</v>
      </c>
      <c r="AM34" s="138"/>
      <c r="AN34" s="139"/>
      <c r="AO34" s="139"/>
      <c r="AP34" s="139"/>
      <c r="AQ34" s="139"/>
      <c r="AR34" s="108" t="s">
        <v>27</v>
      </c>
      <c r="AS34" s="110">
        <f>COUNTIF($AF$7:$AI$54,AR34)</f>
        <v>0</v>
      </c>
      <c r="AT34" s="108">
        <f>COUNTIF(winners,AR34)</f>
        <v>0</v>
      </c>
      <c r="AU34" s="108">
        <f>AS34-(AT34+AV34)</f>
        <v>0</v>
      </c>
      <c r="AV34" s="108">
        <f>COUNTIF(losers,AR34)</f>
        <v>0</v>
      </c>
      <c r="AW34" s="108">
        <f>SUM(CzeF)</f>
        <v>0</v>
      </c>
      <c r="AX34" s="108">
        <f>SUM(CzeA)</f>
        <v>0</v>
      </c>
      <c r="AY34" s="108">
        <f>SUM(AW34-AX34)</f>
        <v>0</v>
      </c>
      <c r="AZ34" s="108">
        <f>SUM((AT34*3)+AU34)</f>
        <v>0</v>
      </c>
      <c r="BA34" s="108">
        <v>20</v>
      </c>
      <c r="BB34" s="108">
        <f>CODE(MID(AR34,2,1))</f>
        <v>122</v>
      </c>
      <c r="BC34" s="108">
        <f>CODE(AR34)</f>
        <v>67</v>
      </c>
      <c r="BD34" s="110">
        <f>SUM((AZ34*100)+(AY34*10)+(AW34)-(BC34/1000)-(BB34/10000)-(BA34/100000))</f>
        <v>-0.07940000000000001</v>
      </c>
      <c r="BE34" s="108" t="str">
        <f>AR34</f>
        <v>Czech Republic</v>
      </c>
      <c r="BF34" s="141">
        <f>LARGE(BD31:BD34,4)</f>
        <v>-0.09349</v>
      </c>
      <c r="BG34" s="110"/>
      <c r="BH34" s="110"/>
      <c r="BI34" s="110"/>
      <c r="BJ34" s="110"/>
      <c r="BK34" s="110"/>
      <c r="BL34" s="110"/>
      <c r="BM34" s="110"/>
      <c r="BN34" s="110"/>
      <c r="BO34" s="110"/>
      <c r="BP34" s="108"/>
      <c r="BQ34" s="108"/>
      <c r="BR34" s="108"/>
    </row>
    <row r="35" spans="2:70" ht="16.5" thickBot="1">
      <c r="B35" s="171" t="s">
        <v>75</v>
      </c>
      <c r="C35" s="80">
        <v>38521</v>
      </c>
      <c r="D35" s="30"/>
      <c r="E35" s="31" t="s">
        <v>22</v>
      </c>
      <c r="F35" s="78"/>
      <c r="G35" s="78"/>
      <c r="H35" s="162" t="s">
        <v>67</v>
      </c>
      <c r="I35" s="212">
        <f>'Your Predictions'!I35</f>
      </c>
      <c r="J35" s="36"/>
      <c r="K35" s="54"/>
      <c r="L35" s="4"/>
      <c r="M35" s="4"/>
      <c r="N35" s="4"/>
      <c r="O35" s="4"/>
      <c r="P35" s="4"/>
      <c r="Q35" s="4"/>
      <c r="R35" s="4"/>
      <c r="S35" s="4"/>
      <c r="T35" s="212"/>
      <c r="U35" s="10"/>
      <c r="V35" s="7"/>
      <c r="W35" s="11"/>
      <c r="X35" s="111"/>
      <c r="Y35" s="113"/>
      <c r="Z35" s="32"/>
      <c r="AA35" s="110"/>
      <c r="AB35" s="112">
        <v>29</v>
      </c>
      <c r="AC35" s="138">
        <f>SUM($F$7:G35)</f>
        <v>0</v>
      </c>
      <c r="AD35" s="138">
        <f>IF(F35="","",ABS(AC35-'Your Predictions'!AC35))</f>
      </c>
      <c r="AE35" s="138"/>
      <c r="AF35" s="110">
        <f t="shared" si="0"/>
      </c>
      <c r="AG35" s="138">
        <f t="shared" si="1"/>
        <v>0</v>
      </c>
      <c r="AH35" s="138">
        <f t="shared" si="2"/>
        <v>0</v>
      </c>
      <c r="AI35" s="138">
        <f t="shared" si="3"/>
      </c>
      <c r="AJ35" s="138"/>
      <c r="AK35" s="138" t="str">
        <f t="shared" si="4"/>
        <v>draw</v>
      </c>
      <c r="AL35" s="110" t="str">
        <f t="shared" si="5"/>
        <v>draw</v>
      </c>
      <c r="AM35" s="138"/>
      <c r="AN35" s="139"/>
      <c r="AO35" s="139"/>
      <c r="AP35" s="139"/>
      <c r="AQ35" s="139"/>
      <c r="AR35" s="108"/>
      <c r="AS35" s="110"/>
      <c r="AT35" s="108"/>
      <c r="AU35" s="108"/>
      <c r="AV35" s="108"/>
      <c r="AW35" s="108"/>
      <c r="AX35" s="108"/>
      <c r="AY35" s="108"/>
      <c r="AZ35" s="108"/>
      <c r="BA35" s="108"/>
      <c r="BB35" s="108"/>
      <c r="BC35" s="108"/>
      <c r="BD35" s="110"/>
      <c r="BE35" s="108"/>
      <c r="BF35" s="141"/>
      <c r="BG35" s="108"/>
      <c r="BH35" s="108"/>
      <c r="BI35" s="108"/>
      <c r="BJ35" s="108"/>
      <c r="BK35" s="108"/>
      <c r="BL35" s="108"/>
      <c r="BM35" s="108"/>
      <c r="BN35" s="108"/>
      <c r="BO35" s="108"/>
      <c r="BP35" s="108"/>
      <c r="BQ35" s="108"/>
      <c r="BR35" s="108"/>
    </row>
    <row r="36" spans="2:70" ht="16.5" thickBot="1">
      <c r="B36" s="171" t="s">
        <v>76</v>
      </c>
      <c r="C36" s="80">
        <v>38522</v>
      </c>
      <c r="D36" s="30"/>
      <c r="E36" s="31" t="s">
        <v>68</v>
      </c>
      <c r="F36" s="78"/>
      <c r="G36" s="78"/>
      <c r="H36" s="162" t="s">
        <v>20</v>
      </c>
      <c r="I36" s="212">
        <f>'Your Predictions'!I36</f>
      </c>
      <c r="J36" s="36"/>
      <c r="K36" s="127" t="s">
        <v>82</v>
      </c>
      <c r="L36" s="129" t="s">
        <v>7</v>
      </c>
      <c r="M36" s="129" t="s">
        <v>8</v>
      </c>
      <c r="N36" s="129" t="s">
        <v>9</v>
      </c>
      <c r="O36" s="129" t="s">
        <v>10</v>
      </c>
      <c r="P36" s="129" t="s">
        <v>11</v>
      </c>
      <c r="Q36" s="129" t="s">
        <v>12</v>
      </c>
      <c r="R36" s="129" t="s">
        <v>13</v>
      </c>
      <c r="S36" s="129" t="s">
        <v>14</v>
      </c>
      <c r="T36" s="212"/>
      <c r="U36" s="10"/>
      <c r="V36" s="118"/>
      <c r="W36" s="11"/>
      <c r="X36" s="111"/>
      <c r="Y36" s="113"/>
      <c r="Z36" s="32"/>
      <c r="AA36" s="110"/>
      <c r="AB36" s="112">
        <v>30</v>
      </c>
      <c r="AC36" s="138">
        <f>SUM($F$7:G36)</f>
        <v>0</v>
      </c>
      <c r="AD36" s="138">
        <f>IF(F36="","",ABS(AC36-'Your Predictions'!AC36))</f>
      </c>
      <c r="AE36" s="138"/>
      <c r="AF36" s="110">
        <f t="shared" si="0"/>
      </c>
      <c r="AG36" s="138">
        <f t="shared" si="1"/>
        <v>0</v>
      </c>
      <c r="AH36" s="138">
        <f t="shared" si="2"/>
        <v>0</v>
      </c>
      <c r="AI36" s="138">
        <f t="shared" si="3"/>
      </c>
      <c r="AJ36" s="138"/>
      <c r="AK36" s="138" t="str">
        <f t="shared" si="4"/>
        <v>draw</v>
      </c>
      <c r="AL36" s="110" t="str">
        <f t="shared" si="5"/>
        <v>draw</v>
      </c>
      <c r="AM36" s="138"/>
      <c r="AN36" s="139"/>
      <c r="AO36" s="139"/>
      <c r="AP36" s="139"/>
      <c r="AQ36" s="139"/>
      <c r="AR36" s="143" t="s">
        <v>82</v>
      </c>
      <c r="AS36" s="108" t="s">
        <v>7</v>
      </c>
      <c r="AT36" s="108" t="s">
        <v>8</v>
      </c>
      <c r="AU36" s="108" t="s">
        <v>9</v>
      </c>
      <c r="AV36" s="108" t="s">
        <v>10</v>
      </c>
      <c r="AW36" s="108" t="s">
        <v>11</v>
      </c>
      <c r="AX36" s="108" t="s">
        <v>12</v>
      </c>
      <c r="AY36" s="108" t="s">
        <v>17</v>
      </c>
      <c r="AZ36" s="108" t="s">
        <v>14</v>
      </c>
      <c r="BA36" s="108"/>
      <c r="BB36" s="108"/>
      <c r="BC36" s="108"/>
      <c r="BD36" s="110"/>
      <c r="BE36" s="108"/>
      <c r="BF36" s="141"/>
      <c r="BG36" s="108"/>
      <c r="BH36" s="108"/>
      <c r="BI36" s="108"/>
      <c r="BJ36" s="108"/>
      <c r="BK36" s="108"/>
      <c r="BL36" s="108"/>
      <c r="BM36" s="108"/>
      <c r="BN36" s="108"/>
      <c r="BO36" s="108"/>
      <c r="BP36" s="108"/>
      <c r="BQ36" s="108"/>
      <c r="BR36" s="108"/>
    </row>
    <row r="37" spans="2:70" ht="16.5" thickBot="1">
      <c r="B37" s="171" t="s">
        <v>76</v>
      </c>
      <c r="C37" s="80">
        <v>38522</v>
      </c>
      <c r="D37" s="30"/>
      <c r="E37" s="31" t="s">
        <v>19</v>
      </c>
      <c r="F37" s="78"/>
      <c r="G37" s="78"/>
      <c r="H37" s="162" t="s">
        <v>70</v>
      </c>
      <c r="I37" s="212">
        <f>'Your Predictions'!I37</f>
      </c>
      <c r="J37" s="36"/>
      <c r="K37" s="27" t="str">
        <f>VLOOKUP(BF37,BD37:BE40,2,FALSE)</f>
        <v>Australia</v>
      </c>
      <c r="L37" s="2">
        <f>VLOOKUP(K37,AR37:AZ40,2,FALSE)</f>
        <v>0</v>
      </c>
      <c r="M37" s="2">
        <f>VLOOKUP(K37,AR37:AZ40,3,FALSE)</f>
        <v>0</v>
      </c>
      <c r="N37" s="2">
        <f>VLOOKUP(K37,AR37:AZ40,4,FALSE)</f>
        <v>0</v>
      </c>
      <c r="O37" s="2">
        <f>VLOOKUP(K37,AR37:AZ40,5,FALSE)</f>
        <v>0</v>
      </c>
      <c r="P37" s="2">
        <f>VLOOKUP(K37,AR37:AZ40,6,FALSE)</f>
        <v>0</v>
      </c>
      <c r="Q37" s="2">
        <f>VLOOKUP(K37,AR37:AZ40,7,FALSE)</f>
        <v>0</v>
      </c>
      <c r="R37" s="2">
        <f>VLOOKUP(K37,AR37:AZ40,8,FALSE)</f>
        <v>0</v>
      </c>
      <c r="S37" s="2">
        <f>VLOOKUP(K37,AR37:AZ40,9,FALSE)</f>
        <v>0</v>
      </c>
      <c r="T37" s="212">
        <f>'Your Predictions'!T37</f>
      </c>
      <c r="U37" s="10"/>
      <c r="V37" s="119"/>
      <c r="W37" s="11"/>
      <c r="X37" s="111"/>
      <c r="Y37" s="113"/>
      <c r="Z37" s="32"/>
      <c r="AA37" s="110"/>
      <c r="AB37" s="112">
        <v>31</v>
      </c>
      <c r="AC37" s="138">
        <f>SUM($F$7:G37)</f>
        <v>0</v>
      </c>
      <c r="AD37" s="138">
        <f>IF(F37="","",ABS(AC37-'Your Predictions'!AC37))</f>
      </c>
      <c r="AE37" s="138"/>
      <c r="AF37" s="110">
        <f t="shared" si="0"/>
      </c>
      <c r="AG37" s="138">
        <f t="shared" si="1"/>
        <v>0</v>
      </c>
      <c r="AH37" s="138">
        <f t="shared" si="2"/>
        <v>0</v>
      </c>
      <c r="AI37" s="138">
        <f t="shared" si="3"/>
      </c>
      <c r="AJ37" s="138"/>
      <c r="AK37" s="138" t="str">
        <f t="shared" si="4"/>
        <v>draw</v>
      </c>
      <c r="AL37" s="110" t="str">
        <f t="shared" si="5"/>
        <v>draw</v>
      </c>
      <c r="AM37" s="138"/>
      <c r="AN37" s="139"/>
      <c r="AO37" s="139"/>
      <c r="AP37" s="139"/>
      <c r="AQ37" s="139"/>
      <c r="AR37" s="108" t="s">
        <v>83</v>
      </c>
      <c r="AS37" s="110">
        <f>COUNTIF($AF$7:$AI$54,AR37)</f>
        <v>0</v>
      </c>
      <c r="AT37" s="108">
        <f>COUNTIF(winners,AR37)</f>
        <v>0</v>
      </c>
      <c r="AU37" s="108">
        <f>AS37-(AT37+AV37)</f>
        <v>0</v>
      </c>
      <c r="AV37" s="108">
        <f>COUNTIF(losers,AR37)</f>
        <v>0</v>
      </c>
      <c r="AW37" s="108">
        <f>SUM(BraF)</f>
        <v>0</v>
      </c>
      <c r="AX37" s="108">
        <f>SUM(BraA)</f>
        <v>0</v>
      </c>
      <c r="AY37" s="108">
        <f>SUM(AW37-AX37)</f>
        <v>0</v>
      </c>
      <c r="AZ37" s="108">
        <f>SUM((AT37*3)+AU37)</f>
        <v>0</v>
      </c>
      <c r="BA37" s="108">
        <v>21</v>
      </c>
      <c r="BB37" s="108">
        <f>CODE(MID(AR37,2,1))</f>
        <v>114</v>
      </c>
      <c r="BC37" s="108">
        <f>CODE(AR37)</f>
        <v>66</v>
      </c>
      <c r="BD37" s="110">
        <f>SUM((AZ37*100)+(AY37*10)+(AW37)-(BC37/1000)-(BB37/10000)-(BA37/100000))</f>
        <v>-0.07761</v>
      </c>
      <c r="BE37" s="108" t="str">
        <f>AR37</f>
        <v>Brazil</v>
      </c>
      <c r="BF37" s="141">
        <f>LARGE(BD37:BD40,1)</f>
        <v>-0.07693</v>
      </c>
      <c r="BG37" s="110"/>
      <c r="BH37" s="110"/>
      <c r="BI37" s="110"/>
      <c r="BJ37" s="110"/>
      <c r="BK37" s="110"/>
      <c r="BL37" s="110"/>
      <c r="BM37" s="110"/>
      <c r="BN37" s="110"/>
      <c r="BO37" s="110"/>
      <c r="BP37" s="108"/>
      <c r="BQ37" s="108"/>
      <c r="BR37" s="108"/>
    </row>
    <row r="38" spans="2:70" ht="16.5" thickBot="1">
      <c r="B38" s="171" t="s">
        <v>76</v>
      </c>
      <c r="C38" s="80">
        <v>38522</v>
      </c>
      <c r="D38" s="30"/>
      <c r="E38" s="31" t="s">
        <v>71</v>
      </c>
      <c r="F38" s="78"/>
      <c r="G38" s="78"/>
      <c r="H38" s="162" t="s">
        <v>69</v>
      </c>
      <c r="I38" s="212">
        <f>'Your Predictions'!I38</f>
      </c>
      <c r="J38" s="36"/>
      <c r="K38" s="27" t="str">
        <f>VLOOKUP(BF38,BD37:BE40,2,FALSE)</f>
        <v>Brazil</v>
      </c>
      <c r="L38" s="2">
        <f>VLOOKUP(K38,AR37:AZ40,2,FALSE)</f>
        <v>0</v>
      </c>
      <c r="M38" s="2">
        <f>VLOOKUP(K38,AR37:AZ40,3,FALSE)</f>
        <v>0</v>
      </c>
      <c r="N38" s="2">
        <f>VLOOKUP(K38,AR37:AZ40,4,FALSE)</f>
        <v>0</v>
      </c>
      <c r="O38" s="2">
        <f>VLOOKUP(K38,AR37:AZ40,5,FALSE)</f>
        <v>0</v>
      </c>
      <c r="P38" s="2">
        <f>VLOOKUP(K38,AR37:AZ40,6,FALSE)</f>
        <v>0</v>
      </c>
      <c r="Q38" s="2">
        <f>VLOOKUP(K38,AR37:AZ40,7,FALSE)</f>
        <v>0</v>
      </c>
      <c r="R38" s="2">
        <f>VLOOKUP(K38,AR37:AZ40,8,FALSE)</f>
        <v>0</v>
      </c>
      <c r="S38" s="2">
        <f>VLOOKUP(K38,AR37:AZ40,9,FALSE)</f>
        <v>0</v>
      </c>
      <c r="T38" s="212">
        <f>'Your Predictions'!T38</f>
      </c>
      <c r="U38" s="10"/>
      <c r="V38" s="120"/>
      <c r="W38" s="11"/>
      <c r="X38" s="111"/>
      <c r="Y38" s="113"/>
      <c r="Z38" s="32"/>
      <c r="AA38" s="110"/>
      <c r="AB38" s="112">
        <v>32</v>
      </c>
      <c r="AC38" s="138">
        <f>SUM($F$7:G38)</f>
        <v>0</v>
      </c>
      <c r="AD38" s="138">
        <f>IF(F38="","",ABS(AC38-'Your Predictions'!AC38))</f>
      </c>
      <c r="AE38" s="138"/>
      <c r="AF38" s="110">
        <f t="shared" si="0"/>
      </c>
      <c r="AG38" s="138">
        <f t="shared" si="1"/>
        <v>0</v>
      </c>
      <c r="AH38" s="138">
        <f t="shared" si="2"/>
        <v>0</v>
      </c>
      <c r="AI38" s="138">
        <f t="shared" si="3"/>
      </c>
      <c r="AJ38" s="138"/>
      <c r="AK38" s="138" t="str">
        <f t="shared" si="4"/>
        <v>draw</v>
      </c>
      <c r="AL38" s="110" t="str">
        <f t="shared" si="5"/>
        <v>draw</v>
      </c>
      <c r="AM38" s="138"/>
      <c r="AN38" s="139"/>
      <c r="AO38" s="139"/>
      <c r="AP38" s="139"/>
      <c r="AQ38" s="139"/>
      <c r="AR38" s="108" t="s">
        <v>21</v>
      </c>
      <c r="AS38" s="110">
        <f>COUNTIF($AF$7:$AI$54,AR38)</f>
        <v>0</v>
      </c>
      <c r="AT38" s="108">
        <f>COUNTIF(winners,AR38)</f>
        <v>0</v>
      </c>
      <c r="AU38" s="108">
        <f>AS38-(AT38+AV38)</f>
        <v>0</v>
      </c>
      <c r="AV38" s="108">
        <f>COUNTIF(losers,AR38)</f>
        <v>0</v>
      </c>
      <c r="AW38" s="108">
        <f>SUM(CroF)</f>
        <v>0</v>
      </c>
      <c r="AX38" s="108">
        <f>SUM(CroA)</f>
        <v>0</v>
      </c>
      <c r="AY38" s="108">
        <f>SUM(AW38-AX38)</f>
        <v>0</v>
      </c>
      <c r="AZ38" s="108">
        <f>SUM((AT38*3)+AU38)</f>
        <v>0</v>
      </c>
      <c r="BA38" s="108">
        <v>22</v>
      </c>
      <c r="BB38" s="108">
        <f>CODE(MID(AR38,2,1))</f>
        <v>114</v>
      </c>
      <c r="BC38" s="108">
        <f>CODE(AR38)</f>
        <v>67</v>
      </c>
      <c r="BD38" s="110">
        <f>SUM((AZ38*100)+(AY38*10)+(AW38)-(BC38/1000)-(BB38/10000)-(BA38/100000))</f>
        <v>-0.07862</v>
      </c>
      <c r="BE38" s="108" t="str">
        <f>AR38</f>
        <v>Croatia</v>
      </c>
      <c r="BF38" s="141">
        <f>LARGE(BD37:BD40,2)</f>
        <v>-0.07761</v>
      </c>
      <c r="BG38" s="110"/>
      <c r="BH38" s="110"/>
      <c r="BI38" s="110"/>
      <c r="BJ38" s="110"/>
      <c r="BK38" s="110"/>
      <c r="BL38" s="110"/>
      <c r="BM38" s="110"/>
      <c r="BN38" s="110"/>
      <c r="BO38" s="110"/>
      <c r="BP38" s="108"/>
      <c r="BQ38" s="108"/>
      <c r="BR38" s="108"/>
    </row>
    <row r="39" spans="2:70" ht="16.5" thickBot="1">
      <c r="B39" s="171" t="s">
        <v>77</v>
      </c>
      <c r="C39" s="80">
        <v>38523</v>
      </c>
      <c r="D39" s="30"/>
      <c r="E39" s="31" t="s">
        <v>54</v>
      </c>
      <c r="F39" s="78"/>
      <c r="G39" s="78"/>
      <c r="H39" s="162" t="s">
        <v>28</v>
      </c>
      <c r="I39" s="212">
        <f>'Your Predictions'!I39</f>
      </c>
      <c r="J39" s="36"/>
      <c r="K39" s="27" t="str">
        <f>VLOOKUP(BF39,BD37:BE40,2,FALSE)</f>
        <v>Croatia</v>
      </c>
      <c r="L39" s="2">
        <f>VLOOKUP(K39,AR37:AZ40,2,FALSE)</f>
        <v>0</v>
      </c>
      <c r="M39" s="2">
        <f>VLOOKUP(K39,AR37:AZ40,3,FALSE)</f>
        <v>0</v>
      </c>
      <c r="N39" s="2">
        <f>VLOOKUP(K39,AR37:AZ40,4,FALSE)</f>
        <v>0</v>
      </c>
      <c r="O39" s="2">
        <f>VLOOKUP(K39,AR37:AZ40,5,FALSE)</f>
        <v>0</v>
      </c>
      <c r="P39" s="2">
        <f>VLOOKUP(K39,AR37:AZ40,6,FALSE)</f>
        <v>0</v>
      </c>
      <c r="Q39" s="2">
        <f>VLOOKUP(K39,AR37:AZ40,7,FALSE)</f>
        <v>0</v>
      </c>
      <c r="R39" s="2">
        <f>VLOOKUP(K39,AR37:AZ40,8,FALSE)</f>
        <v>0</v>
      </c>
      <c r="S39" s="2">
        <f>VLOOKUP(K39,AR37:AZ40,9,FALSE)</f>
        <v>0</v>
      </c>
      <c r="T39" s="212">
        <f>'Your Predictions'!T39</f>
      </c>
      <c r="U39" s="10"/>
      <c r="V39" s="103"/>
      <c r="W39" s="11"/>
      <c r="X39" s="111"/>
      <c r="Y39" s="113"/>
      <c r="Z39" s="32"/>
      <c r="AA39" s="110"/>
      <c r="AB39" s="112">
        <v>33</v>
      </c>
      <c r="AC39" s="138">
        <f>SUM($F$7:G39)</f>
        <v>0</v>
      </c>
      <c r="AD39" s="138">
        <f>IF(F39="","",ABS(AC39-'Your Predictions'!AC39))</f>
      </c>
      <c r="AE39" s="138"/>
      <c r="AF39" s="110">
        <f t="shared" si="0"/>
      </c>
      <c r="AG39" s="138">
        <f t="shared" si="1"/>
        <v>0</v>
      </c>
      <c r="AH39" s="138">
        <f t="shared" si="2"/>
        <v>0</v>
      </c>
      <c r="AI39" s="138">
        <f t="shared" si="3"/>
      </c>
      <c r="AJ39" s="138"/>
      <c r="AK39" s="138" t="str">
        <f t="shared" si="4"/>
        <v>draw</v>
      </c>
      <c r="AL39" s="110" t="str">
        <f t="shared" si="5"/>
        <v>draw</v>
      </c>
      <c r="AM39" s="138"/>
      <c r="AN39" s="139"/>
      <c r="AO39" s="139"/>
      <c r="AP39" s="139"/>
      <c r="AQ39" s="139"/>
      <c r="AR39" s="108" t="s">
        <v>65</v>
      </c>
      <c r="AS39" s="110">
        <f>COUNTIF($AF$7:$AI$54,AR39)</f>
        <v>0</v>
      </c>
      <c r="AT39" s="108">
        <f>COUNTIF(winners,AR39)</f>
        <v>0</v>
      </c>
      <c r="AU39" s="108">
        <f>AS39-(AT39+AV39)</f>
        <v>0</v>
      </c>
      <c r="AV39" s="108">
        <f>COUNTIF(losers,AR39)</f>
        <v>0</v>
      </c>
      <c r="AW39" s="108">
        <f>SUM(AusF)</f>
        <v>0</v>
      </c>
      <c r="AX39" s="108">
        <f>SUM(AusA)</f>
        <v>0</v>
      </c>
      <c r="AY39" s="108">
        <f>SUM(AW39-AX39)</f>
        <v>0</v>
      </c>
      <c r="AZ39" s="108">
        <f>SUM((AT39*3)+AU39)</f>
        <v>0</v>
      </c>
      <c r="BA39" s="108">
        <v>23</v>
      </c>
      <c r="BB39" s="108">
        <f>CODE(MID(AR39,2,1))</f>
        <v>117</v>
      </c>
      <c r="BC39" s="108">
        <f>CODE(AR39)</f>
        <v>65</v>
      </c>
      <c r="BD39" s="110">
        <f>SUM((AZ39*100)+(AY39*10)+(AW39)-(BC39/1000)-(BB39/10000)-(BA39/100000))</f>
        <v>-0.07693</v>
      </c>
      <c r="BE39" s="108" t="str">
        <f>AR39</f>
        <v>Australia</v>
      </c>
      <c r="BF39" s="141">
        <f>LARGE(BD37:BD40,3)</f>
        <v>-0.07862</v>
      </c>
      <c r="BG39" s="110"/>
      <c r="BH39" s="110"/>
      <c r="BI39" s="110"/>
      <c r="BJ39" s="110"/>
      <c r="BK39" s="110"/>
      <c r="BL39" s="110"/>
      <c r="BM39" s="110"/>
      <c r="BN39" s="110"/>
      <c r="BO39" s="110"/>
      <c r="BP39" s="108"/>
      <c r="BQ39" s="108"/>
      <c r="BR39" s="108"/>
    </row>
    <row r="40" spans="2:70" ht="16.5" thickBot="1">
      <c r="B40" s="171" t="s">
        <v>77</v>
      </c>
      <c r="C40" s="80">
        <v>38523</v>
      </c>
      <c r="D40" s="30"/>
      <c r="E40" s="31" t="s">
        <v>52</v>
      </c>
      <c r="F40" s="78"/>
      <c r="G40" s="78"/>
      <c r="H40" s="162" t="s">
        <v>53</v>
      </c>
      <c r="I40" s="212">
        <f>'Your Predictions'!I40</f>
      </c>
      <c r="J40" s="36"/>
      <c r="K40" s="27" t="str">
        <f>VLOOKUP(BF40,BD37:BE40,2,FALSE)</f>
        <v>Japan</v>
      </c>
      <c r="L40" s="2">
        <f>VLOOKUP(K40,AR37:AZ40,2,FALSE)</f>
        <v>0</v>
      </c>
      <c r="M40" s="2">
        <f>VLOOKUP(K40,AR37:AZ40,3,FALSE)</f>
        <v>0</v>
      </c>
      <c r="N40" s="2">
        <f>VLOOKUP(K40,AR37:AZ40,4,FALSE)</f>
        <v>0</v>
      </c>
      <c r="O40" s="2">
        <f>VLOOKUP(K40,AR37:AZ40,5,FALSE)</f>
        <v>0</v>
      </c>
      <c r="P40" s="2">
        <f>VLOOKUP(K40,AR37:AZ40,6,FALSE)</f>
        <v>0</v>
      </c>
      <c r="Q40" s="2">
        <f>VLOOKUP(K40,AR37:AZ40,7,FALSE)</f>
        <v>0</v>
      </c>
      <c r="R40" s="2">
        <f>VLOOKUP(K40,AR37:AZ40,8,FALSE)</f>
        <v>0</v>
      </c>
      <c r="S40" s="2">
        <f>VLOOKUP(K40,AR37:AZ40,9,FALSE)</f>
        <v>0</v>
      </c>
      <c r="T40" s="212">
        <f>'Your Predictions'!T40</f>
      </c>
      <c r="U40" s="10"/>
      <c r="V40" s="44" t="s">
        <v>47</v>
      </c>
      <c r="W40" s="11"/>
      <c r="X40" s="111"/>
      <c r="Y40" s="113"/>
      <c r="Z40" s="32"/>
      <c r="AA40" s="110"/>
      <c r="AB40" s="112">
        <v>34</v>
      </c>
      <c r="AC40" s="138">
        <f>SUM($F$7:G40)</f>
        <v>0</v>
      </c>
      <c r="AD40" s="138">
        <f>IF(F40="","",ABS(AC40-'Your Predictions'!AC40))</f>
      </c>
      <c r="AE40" s="138"/>
      <c r="AF40" s="110">
        <f t="shared" si="0"/>
      </c>
      <c r="AG40" s="138">
        <f t="shared" si="1"/>
        <v>0</v>
      </c>
      <c r="AH40" s="138">
        <f t="shared" si="2"/>
        <v>0</v>
      </c>
      <c r="AI40" s="138">
        <f t="shared" si="3"/>
      </c>
      <c r="AJ40" s="138"/>
      <c r="AK40" s="138" t="str">
        <f t="shared" si="4"/>
        <v>draw</v>
      </c>
      <c r="AL40" s="110" t="str">
        <f t="shared" si="5"/>
        <v>draw</v>
      </c>
      <c r="AM40" s="138"/>
      <c r="AN40" s="139"/>
      <c r="AO40" s="139"/>
      <c r="AP40" s="139"/>
      <c r="AQ40" s="139"/>
      <c r="AR40" s="108" t="s">
        <v>66</v>
      </c>
      <c r="AS40" s="110">
        <f>COUNTIF($AF$7:$AI$54,AR40)</f>
        <v>0</v>
      </c>
      <c r="AT40" s="108">
        <f>COUNTIF(winners,AR40)</f>
        <v>0</v>
      </c>
      <c r="AU40" s="108">
        <f>AS40-(AT40+AV40)</f>
        <v>0</v>
      </c>
      <c r="AV40" s="108">
        <f>COUNTIF(losers,AR40)</f>
        <v>0</v>
      </c>
      <c r="AW40" s="108">
        <f>SUM(JapF)</f>
        <v>0</v>
      </c>
      <c r="AX40" s="108">
        <f>SUM(JapA)</f>
        <v>0</v>
      </c>
      <c r="AY40" s="108">
        <f>SUM(AW40-AX40)</f>
        <v>0</v>
      </c>
      <c r="AZ40" s="108">
        <f>SUM((AT40*3)+AU40)</f>
        <v>0</v>
      </c>
      <c r="BA40" s="108">
        <v>24</v>
      </c>
      <c r="BB40" s="108">
        <f>CODE(MID(AR40,2,1))</f>
        <v>97</v>
      </c>
      <c r="BC40" s="108">
        <f>CODE(AR40)</f>
        <v>74</v>
      </c>
      <c r="BD40" s="110">
        <f>SUM((AZ40*100)+(AY40*10)+(AW40)-(BC40/1000)-(BB40/10000)-(BA40/100000))</f>
        <v>-0.08394</v>
      </c>
      <c r="BE40" s="108" t="str">
        <f>AR40</f>
        <v>Japan</v>
      </c>
      <c r="BF40" s="141">
        <f>LARGE(BD37:BD40,4)</f>
        <v>-0.08394</v>
      </c>
      <c r="BG40" s="110"/>
      <c r="BH40" s="110"/>
      <c r="BI40" s="110"/>
      <c r="BJ40" s="110"/>
      <c r="BK40" s="110"/>
      <c r="BL40" s="110"/>
      <c r="BM40" s="110"/>
      <c r="BN40" s="110"/>
      <c r="BO40" s="110"/>
      <c r="BP40" s="108"/>
      <c r="BQ40" s="108"/>
      <c r="BR40" s="108"/>
    </row>
    <row r="41" spans="2:70" ht="16.5" thickBot="1">
      <c r="B41" s="171" t="s">
        <v>77</v>
      </c>
      <c r="C41" s="80">
        <v>38523</v>
      </c>
      <c r="D41" s="30"/>
      <c r="E41" s="31" t="s">
        <v>26</v>
      </c>
      <c r="F41" s="78"/>
      <c r="G41" s="78"/>
      <c r="H41" s="162" t="s">
        <v>23</v>
      </c>
      <c r="I41" s="212">
        <f>'Your Predictions'!I41</f>
      </c>
      <c r="J41" s="36"/>
      <c r="K41" s="54"/>
      <c r="L41" s="4"/>
      <c r="M41" s="4"/>
      <c r="N41" s="4"/>
      <c r="O41" s="4"/>
      <c r="P41" s="4"/>
      <c r="Q41" s="4"/>
      <c r="R41" s="4"/>
      <c r="S41" s="4"/>
      <c r="T41" s="212"/>
      <c r="U41" s="10"/>
      <c r="V41" s="121"/>
      <c r="W41" s="11"/>
      <c r="X41" s="111"/>
      <c r="Y41" s="113"/>
      <c r="Z41" s="32"/>
      <c r="AA41" s="110"/>
      <c r="AB41" s="112">
        <v>35</v>
      </c>
      <c r="AC41" s="138">
        <f>SUM($F$7:G41)</f>
        <v>0</v>
      </c>
      <c r="AD41" s="138">
        <f>IF(F41="","",ABS(AC41-'Your Predictions'!AC41))</f>
      </c>
      <c r="AE41" s="138"/>
      <c r="AF41" s="110">
        <f t="shared" si="0"/>
      </c>
      <c r="AG41" s="138">
        <f t="shared" si="1"/>
        <v>0</v>
      </c>
      <c r="AH41" s="138">
        <f t="shared" si="2"/>
        <v>0</v>
      </c>
      <c r="AI41" s="138">
        <f t="shared" si="3"/>
      </c>
      <c r="AJ41" s="138"/>
      <c r="AK41" s="138" t="str">
        <f t="shared" si="4"/>
        <v>draw</v>
      </c>
      <c r="AL41" s="110" t="str">
        <f t="shared" si="5"/>
        <v>draw</v>
      </c>
      <c r="AM41" s="138"/>
      <c r="AN41" s="139"/>
      <c r="AO41" s="139"/>
      <c r="AP41" s="139"/>
      <c r="AQ41" s="139"/>
      <c r="AR41" s="108"/>
      <c r="AS41" s="110"/>
      <c r="AT41" s="108"/>
      <c r="AU41" s="108"/>
      <c r="AV41" s="108"/>
      <c r="AW41" s="108"/>
      <c r="AX41" s="108"/>
      <c r="AY41" s="108"/>
      <c r="AZ41" s="108"/>
      <c r="BA41" s="108"/>
      <c r="BB41" s="108"/>
      <c r="BC41" s="108"/>
      <c r="BD41" s="110"/>
      <c r="BE41" s="108"/>
      <c r="BF41" s="136"/>
      <c r="BG41" s="108"/>
      <c r="BH41" s="108"/>
      <c r="BI41" s="108"/>
      <c r="BJ41" s="108"/>
      <c r="BK41" s="108"/>
      <c r="BL41" s="108"/>
      <c r="BM41" s="108"/>
      <c r="BN41" s="108"/>
      <c r="BO41" s="108"/>
      <c r="BP41" s="108"/>
      <c r="BQ41" s="108"/>
      <c r="BR41" s="108"/>
    </row>
    <row r="42" spans="2:70" ht="16.5" thickBot="1">
      <c r="B42" s="171" t="s">
        <v>77</v>
      </c>
      <c r="C42" s="80">
        <v>38523</v>
      </c>
      <c r="D42" s="30"/>
      <c r="E42" s="31" t="s">
        <v>55</v>
      </c>
      <c r="F42" s="78"/>
      <c r="G42" s="78"/>
      <c r="H42" s="162" t="s">
        <v>56</v>
      </c>
      <c r="I42" s="212">
        <f>'Your Predictions'!I42</f>
      </c>
      <c r="J42" s="36"/>
      <c r="K42" s="127" t="s">
        <v>84</v>
      </c>
      <c r="L42" s="129" t="s">
        <v>7</v>
      </c>
      <c r="M42" s="129" t="s">
        <v>8</v>
      </c>
      <c r="N42" s="129" t="s">
        <v>9</v>
      </c>
      <c r="O42" s="129" t="s">
        <v>10</v>
      </c>
      <c r="P42" s="129" t="s">
        <v>11</v>
      </c>
      <c r="Q42" s="129" t="s">
        <v>12</v>
      </c>
      <c r="R42" s="129" t="s">
        <v>13</v>
      </c>
      <c r="S42" s="129" t="s">
        <v>14</v>
      </c>
      <c r="T42" s="212"/>
      <c r="U42" s="10"/>
      <c r="V42" s="12"/>
      <c r="W42" s="11"/>
      <c r="X42" s="111"/>
      <c r="Y42" s="113"/>
      <c r="Z42" s="32"/>
      <c r="AA42" s="110"/>
      <c r="AB42" s="112">
        <v>36</v>
      </c>
      <c r="AC42" s="138">
        <f>SUM($F$7:G42)</f>
        <v>0</v>
      </c>
      <c r="AD42" s="138">
        <f>IF(F42="","",ABS(AC42-'Your Predictions'!AC42))</f>
      </c>
      <c r="AE42" s="138"/>
      <c r="AF42" s="110">
        <f t="shared" si="0"/>
      </c>
      <c r="AG42" s="138">
        <f t="shared" si="1"/>
        <v>0</v>
      </c>
      <c r="AH42" s="138">
        <f t="shared" si="2"/>
        <v>0</v>
      </c>
      <c r="AI42" s="138">
        <f t="shared" si="3"/>
      </c>
      <c r="AJ42" s="138"/>
      <c r="AK42" s="138" t="str">
        <f t="shared" si="4"/>
        <v>draw</v>
      </c>
      <c r="AL42" s="110" t="str">
        <f t="shared" si="5"/>
        <v>draw</v>
      </c>
      <c r="AM42" s="138"/>
      <c r="AN42" s="139"/>
      <c r="AO42" s="139"/>
      <c r="AP42" s="139"/>
      <c r="AQ42" s="139"/>
      <c r="AR42" s="143" t="s">
        <v>84</v>
      </c>
      <c r="AS42" s="108" t="s">
        <v>7</v>
      </c>
      <c r="AT42" s="108" t="s">
        <v>8</v>
      </c>
      <c r="AU42" s="108" t="s">
        <v>9</v>
      </c>
      <c r="AV42" s="108" t="s">
        <v>10</v>
      </c>
      <c r="AW42" s="108" t="s">
        <v>11</v>
      </c>
      <c r="AX42" s="108" t="s">
        <v>12</v>
      </c>
      <c r="AY42" s="108" t="s">
        <v>17</v>
      </c>
      <c r="AZ42" s="108" t="s">
        <v>14</v>
      </c>
      <c r="BA42" s="108"/>
      <c r="BB42" s="108"/>
      <c r="BC42" s="108"/>
      <c r="BD42" s="110"/>
      <c r="BE42" s="108"/>
      <c r="BF42" s="141"/>
      <c r="BG42" s="108"/>
      <c r="BH42" s="108"/>
      <c r="BI42" s="108"/>
      <c r="BJ42" s="108"/>
      <c r="BK42" s="108"/>
      <c r="BL42" s="108"/>
      <c r="BM42" s="108"/>
      <c r="BN42" s="108"/>
      <c r="BO42" s="108"/>
      <c r="BP42" s="108"/>
      <c r="BQ42" s="108"/>
      <c r="BR42" s="108"/>
    </row>
    <row r="43" spans="2:70" ht="16.5" thickBot="1">
      <c r="B43" s="171" t="s">
        <v>78</v>
      </c>
      <c r="C43" s="80">
        <v>38524</v>
      </c>
      <c r="D43" s="30"/>
      <c r="E43" s="31" t="s">
        <v>59</v>
      </c>
      <c r="F43" s="78"/>
      <c r="G43" s="78"/>
      <c r="H43" s="162" t="s">
        <v>72</v>
      </c>
      <c r="I43" s="212">
        <f>'Your Predictions'!I43</f>
      </c>
      <c r="J43" s="36"/>
      <c r="K43" s="27" t="str">
        <f>VLOOKUP(BF43,BD43:BE46,2,FALSE)</f>
        <v>France</v>
      </c>
      <c r="L43" s="2">
        <f>VLOOKUP(K43,AR43:AZ46,2,FALSE)</f>
        <v>0</v>
      </c>
      <c r="M43" s="2">
        <f>VLOOKUP(K43,AR43:AZ46,3,FALSE)</f>
        <v>0</v>
      </c>
      <c r="N43" s="2">
        <f>VLOOKUP(K43,AR43:AZ46,4,FALSE)</f>
        <v>0</v>
      </c>
      <c r="O43" s="2">
        <f>VLOOKUP(K43,AR43:AZ46,5,FALSE)</f>
        <v>0</v>
      </c>
      <c r="P43" s="2">
        <f>VLOOKUP(K43,AR43:AZ46,6,FALSE)</f>
        <v>0</v>
      </c>
      <c r="Q43" s="2">
        <f>VLOOKUP(K43,AR43:AZ46,7,FALSE)</f>
        <v>0</v>
      </c>
      <c r="R43" s="2">
        <f>VLOOKUP(K43,AR43:AZ46,8,FALSE)</f>
        <v>0</v>
      </c>
      <c r="S43" s="2">
        <f>VLOOKUP(K43,AR43:AZ46,9,FALSE)</f>
        <v>0</v>
      </c>
      <c r="T43" s="212">
        <f>'Your Predictions'!T43</f>
      </c>
      <c r="U43" s="10"/>
      <c r="V43" s="216"/>
      <c r="W43" s="11"/>
      <c r="X43" s="111"/>
      <c r="Y43" s="113"/>
      <c r="Z43" s="32"/>
      <c r="AA43" s="110"/>
      <c r="AB43" s="112">
        <v>37</v>
      </c>
      <c r="AC43" s="138">
        <f>SUM($F$7:G43)</f>
        <v>0</v>
      </c>
      <c r="AD43" s="138">
        <f>IF(F43="","",ABS(AC43-'Your Predictions'!AC43))</f>
      </c>
      <c r="AE43" s="138"/>
      <c r="AF43" s="110">
        <f t="shared" si="0"/>
      </c>
      <c r="AG43" s="138">
        <f t="shared" si="1"/>
        <v>0</v>
      </c>
      <c r="AH43" s="138">
        <f t="shared" si="2"/>
        <v>0</v>
      </c>
      <c r="AI43" s="138">
        <f t="shared" si="3"/>
      </c>
      <c r="AJ43" s="138"/>
      <c r="AK43" s="138" t="str">
        <f t="shared" si="4"/>
        <v>draw</v>
      </c>
      <c r="AL43" s="110" t="str">
        <f t="shared" si="5"/>
        <v>draw</v>
      </c>
      <c r="AM43" s="138"/>
      <c r="AN43" s="139"/>
      <c r="AO43" s="139"/>
      <c r="AP43" s="139"/>
      <c r="AQ43" s="139"/>
      <c r="AR43" s="108" t="s">
        <v>22</v>
      </c>
      <c r="AS43" s="110">
        <f>COUNTIF($AF$7:$AI$54,AR43)</f>
        <v>0</v>
      </c>
      <c r="AT43" s="108">
        <f>COUNTIF(winners,AR43)</f>
        <v>0</v>
      </c>
      <c r="AU43" s="108">
        <f>AS43-(AT43+AV43)</f>
        <v>0</v>
      </c>
      <c r="AV43" s="108">
        <f>COUNTIF(losers,AR43)</f>
        <v>0</v>
      </c>
      <c r="AW43" s="108">
        <f>SUM(FraF)</f>
        <v>0</v>
      </c>
      <c r="AX43" s="108">
        <f>SUM(FraA)</f>
        <v>0</v>
      </c>
      <c r="AY43" s="108">
        <f>SUM(AW43-AX43)</f>
        <v>0</v>
      </c>
      <c r="AZ43" s="108">
        <f>SUM((AT43*3)+AU43)</f>
        <v>0</v>
      </c>
      <c r="BA43" s="108">
        <v>25</v>
      </c>
      <c r="BB43" s="108">
        <f>CODE(MID(AR43,2,1))</f>
        <v>114</v>
      </c>
      <c r="BC43" s="108">
        <f>CODE(AR43)</f>
        <v>70</v>
      </c>
      <c r="BD43" s="110">
        <f>SUM((AZ43*100)+(AY43*10)+(AW43)-(BC43/1000)-(BB43/10000)-(BA43/100000))</f>
        <v>-0.08165</v>
      </c>
      <c r="BE43" s="108" t="str">
        <f>AR43</f>
        <v>France</v>
      </c>
      <c r="BF43" s="141">
        <f>LARGE(BD43:BD46,1)</f>
        <v>-0.08165</v>
      </c>
      <c r="BG43" s="110"/>
      <c r="BH43" s="110"/>
      <c r="BI43" s="110"/>
      <c r="BJ43" s="110"/>
      <c r="BK43" s="110"/>
      <c r="BL43" s="110"/>
      <c r="BM43" s="110"/>
      <c r="BN43" s="110"/>
      <c r="BO43" s="110"/>
      <c r="BP43" s="108"/>
      <c r="BQ43" s="108"/>
      <c r="BR43" s="108"/>
    </row>
    <row r="44" spans="2:70" ht="16.5" thickBot="1">
      <c r="B44" s="171" t="s">
        <v>78</v>
      </c>
      <c r="C44" s="80">
        <v>38524</v>
      </c>
      <c r="D44" s="30"/>
      <c r="E44" s="31" t="s">
        <v>57</v>
      </c>
      <c r="F44" s="78"/>
      <c r="G44" s="78"/>
      <c r="H44" s="162" t="s">
        <v>58</v>
      </c>
      <c r="I44" s="212">
        <f>'Your Predictions'!I44</f>
      </c>
      <c r="J44" s="36"/>
      <c r="K44" s="27" t="str">
        <f>VLOOKUP(BF44,BD43:BE46,2,FALSE)</f>
        <v>South Korea</v>
      </c>
      <c r="L44" s="2">
        <f>VLOOKUP(K44,AR43:AZ46,2,FALSE)</f>
        <v>0</v>
      </c>
      <c r="M44" s="2">
        <f>VLOOKUP(K44,AR43:AZ46,3,FALSE)</f>
        <v>0</v>
      </c>
      <c r="N44" s="2">
        <f>VLOOKUP(K44,AR43:AZ46,4,FALSE)</f>
        <v>0</v>
      </c>
      <c r="O44" s="2">
        <f>VLOOKUP(K44,AR43:AZ46,5,FALSE)</f>
        <v>0</v>
      </c>
      <c r="P44" s="2">
        <f>VLOOKUP(K44,AR43:AZ46,6,FALSE)</f>
        <v>0</v>
      </c>
      <c r="Q44" s="2">
        <f>VLOOKUP(K44,AR43:AZ46,7,FALSE)</f>
        <v>0</v>
      </c>
      <c r="R44" s="2">
        <f>VLOOKUP(K44,AR43:AZ46,8,FALSE)</f>
        <v>0</v>
      </c>
      <c r="S44" s="2">
        <f>VLOOKUP(K44,AR43:AZ46,9,FALSE)</f>
        <v>0</v>
      </c>
      <c r="T44" s="212">
        <f>'Your Predictions'!T44</f>
      </c>
      <c r="U44" s="10"/>
      <c r="V44" s="103"/>
      <c r="W44" s="11"/>
      <c r="X44" s="111"/>
      <c r="Y44" s="113"/>
      <c r="Z44" s="32"/>
      <c r="AA44" s="110"/>
      <c r="AB44" s="112">
        <v>38</v>
      </c>
      <c r="AC44" s="138">
        <f>SUM($F$7:G44)</f>
        <v>0</v>
      </c>
      <c r="AD44" s="138">
        <f>IF(F44="","",ABS(AC44-'Your Predictions'!AC44))</f>
      </c>
      <c r="AE44" s="138"/>
      <c r="AF44" s="110">
        <f t="shared" si="0"/>
      </c>
      <c r="AG44" s="138">
        <f t="shared" si="1"/>
        <v>0</v>
      </c>
      <c r="AH44" s="138">
        <f t="shared" si="2"/>
        <v>0</v>
      </c>
      <c r="AI44" s="138">
        <f t="shared" si="3"/>
      </c>
      <c r="AJ44" s="138"/>
      <c r="AK44" s="138" t="str">
        <f t="shared" si="4"/>
        <v>draw</v>
      </c>
      <c r="AL44" s="110" t="str">
        <f t="shared" si="5"/>
        <v>draw</v>
      </c>
      <c r="AM44" s="138"/>
      <c r="AN44" s="139"/>
      <c r="AO44" s="139"/>
      <c r="AP44" s="139"/>
      <c r="AQ44" s="139"/>
      <c r="AR44" s="108" t="s">
        <v>20</v>
      </c>
      <c r="AS44" s="110">
        <f>COUNTIF($AF$7:$AI$54,AR44)</f>
        <v>0</v>
      </c>
      <c r="AT44" s="108">
        <f>COUNTIF(winners,AR44)</f>
        <v>0</v>
      </c>
      <c r="AU44" s="108">
        <f>AS44-(AT44+AV44)</f>
        <v>0</v>
      </c>
      <c r="AV44" s="108">
        <f>COUNTIF(losers,AR44)</f>
        <v>0</v>
      </c>
      <c r="AW44" s="108">
        <f>SUM(SwiF)</f>
        <v>0</v>
      </c>
      <c r="AX44" s="108">
        <f>SUM(SwiA)</f>
        <v>0</v>
      </c>
      <c r="AY44" s="108">
        <f>SUM(AW44-AX44)</f>
        <v>0</v>
      </c>
      <c r="AZ44" s="108">
        <f>SUM((AT44*3)+AU44)</f>
        <v>0</v>
      </c>
      <c r="BA44" s="108">
        <v>26</v>
      </c>
      <c r="BB44" s="108">
        <f>CODE(MID(AR44,2,1))</f>
        <v>119</v>
      </c>
      <c r="BC44" s="108">
        <f>CODE(AR44)</f>
        <v>83</v>
      </c>
      <c r="BD44" s="110">
        <f>SUM((AZ44*100)+(AY44*10)+(AW44)-(BC44/1000)-(BB44/10000)-(BA44/100000))</f>
        <v>-0.09516000000000001</v>
      </c>
      <c r="BE44" s="108" t="str">
        <f>AR44</f>
        <v>Switzerland</v>
      </c>
      <c r="BF44" s="141">
        <f>LARGE(BD43:BD46,2)</f>
        <v>-0.09437000000000001</v>
      </c>
      <c r="BG44" s="110"/>
      <c r="BH44" s="110"/>
      <c r="BI44" s="110"/>
      <c r="BJ44" s="110"/>
      <c r="BK44" s="110"/>
      <c r="BL44" s="110"/>
      <c r="BM44" s="110"/>
      <c r="BN44" s="110"/>
      <c r="BO44" s="110"/>
      <c r="BP44" s="108"/>
      <c r="BQ44" s="108"/>
      <c r="BR44" s="108"/>
    </row>
    <row r="45" spans="2:70" ht="16.5" thickBot="1">
      <c r="B45" s="171" t="s">
        <v>78</v>
      </c>
      <c r="C45" s="80">
        <v>38524</v>
      </c>
      <c r="D45" s="30"/>
      <c r="E45" s="31" t="s">
        <v>18</v>
      </c>
      <c r="F45" s="78"/>
      <c r="G45" s="78"/>
      <c r="H45" s="162" t="s">
        <v>60</v>
      </c>
      <c r="I45" s="212">
        <f>'Your Predictions'!I45</f>
      </c>
      <c r="J45" s="36"/>
      <c r="K45" s="27" t="str">
        <f>VLOOKUP(BF45,BD43:BE46,2,FALSE)</f>
        <v>Switzerland</v>
      </c>
      <c r="L45" s="2">
        <f>VLOOKUP(K45,AR43:AZ46,2,FALSE)</f>
        <v>0</v>
      </c>
      <c r="M45" s="2">
        <f>VLOOKUP(K45,AR43:AZ46,3,FALSE)</f>
        <v>0</v>
      </c>
      <c r="N45" s="2">
        <f>VLOOKUP(K45,AR43:AZ46,4,FALSE)</f>
        <v>0</v>
      </c>
      <c r="O45" s="2">
        <f>VLOOKUP(K45,AR43:AZ46,5,FALSE)</f>
        <v>0</v>
      </c>
      <c r="P45" s="2">
        <f>VLOOKUP(K45,AR43:AZ46,6,FALSE)</f>
        <v>0</v>
      </c>
      <c r="Q45" s="2">
        <f>VLOOKUP(K45,AR43:AZ46,7,FALSE)</f>
        <v>0</v>
      </c>
      <c r="R45" s="2">
        <f>VLOOKUP(K45,AR43:AZ46,8,FALSE)</f>
        <v>0</v>
      </c>
      <c r="S45" s="2">
        <f>VLOOKUP(K45,AR43:AZ46,9,FALSE)</f>
        <v>0</v>
      </c>
      <c r="T45" s="212">
        <f>'Your Predictions'!T45</f>
      </c>
      <c r="U45" s="10"/>
      <c r="V45" s="103"/>
      <c r="W45" s="11"/>
      <c r="X45" s="111"/>
      <c r="Y45" s="113"/>
      <c r="Z45" s="32"/>
      <c r="AA45" s="110"/>
      <c r="AB45" s="112">
        <v>39</v>
      </c>
      <c r="AC45" s="138">
        <f>SUM($F$7:G45)</f>
        <v>0</v>
      </c>
      <c r="AD45" s="138">
        <f>IF(F45="","",ABS(AC45-'Your Predictions'!AC45))</f>
      </c>
      <c r="AE45" s="138"/>
      <c r="AF45" s="110">
        <f t="shared" si="0"/>
      </c>
      <c r="AG45" s="138">
        <f t="shared" si="1"/>
        <v>0</v>
      </c>
      <c r="AH45" s="138">
        <f t="shared" si="2"/>
        <v>0</v>
      </c>
      <c r="AI45" s="138">
        <f t="shared" si="3"/>
      </c>
      <c r="AJ45" s="138"/>
      <c r="AK45" s="138" t="str">
        <f t="shared" si="4"/>
        <v>draw</v>
      </c>
      <c r="AL45" s="110" t="str">
        <f t="shared" si="5"/>
        <v>draw</v>
      </c>
      <c r="AM45" s="138"/>
      <c r="AN45" s="139"/>
      <c r="AO45" s="139"/>
      <c r="AP45" s="139"/>
      <c r="AQ45" s="139"/>
      <c r="AR45" s="108" t="s">
        <v>67</v>
      </c>
      <c r="AS45" s="110">
        <f>COUNTIF($AF$7:$AI$54,AR45)</f>
        <v>0</v>
      </c>
      <c r="AT45" s="108">
        <f>COUNTIF(winners,AR45)</f>
        <v>0</v>
      </c>
      <c r="AU45" s="108">
        <f>AS45-(AT45+AV45)</f>
        <v>0</v>
      </c>
      <c r="AV45" s="108">
        <f>COUNTIF(losers,AR45)</f>
        <v>0</v>
      </c>
      <c r="AW45" s="108">
        <f>SUM(souf)</f>
        <v>0</v>
      </c>
      <c r="AX45" s="108">
        <f>SUM(SouA)</f>
        <v>0</v>
      </c>
      <c r="AY45" s="108">
        <f>SUM(AW45-AX45)</f>
        <v>0</v>
      </c>
      <c r="AZ45" s="108">
        <f>SUM((AT45*3)+AU45)</f>
        <v>0</v>
      </c>
      <c r="BA45" s="108">
        <v>27</v>
      </c>
      <c r="BB45" s="108">
        <f>CODE(MID(AR45,2,1))</f>
        <v>111</v>
      </c>
      <c r="BC45" s="108">
        <f>CODE(AR45)</f>
        <v>83</v>
      </c>
      <c r="BD45" s="110">
        <f>SUM((AZ45*100)+(AY45*10)+(AW45)-(BC45/1000)-(BB45/10000)-(BA45/100000))</f>
        <v>-0.09437000000000001</v>
      </c>
      <c r="BE45" s="108" t="str">
        <f>AR45</f>
        <v>South Korea</v>
      </c>
      <c r="BF45" s="141">
        <f>LARGE(BD43:BD46,3)</f>
        <v>-0.09516000000000001</v>
      </c>
      <c r="BG45" s="110"/>
      <c r="BH45" s="110"/>
      <c r="BI45" s="110"/>
      <c r="BJ45" s="110"/>
      <c r="BK45" s="110"/>
      <c r="BL45" s="110"/>
      <c r="BM45" s="110"/>
      <c r="BN45" s="110"/>
      <c r="BO45" s="110"/>
      <c r="BP45" s="108"/>
      <c r="BQ45" s="108"/>
      <c r="BR45" s="108"/>
    </row>
    <row r="46" spans="2:70" ht="16.5" thickBot="1">
      <c r="B46" s="171" t="s">
        <v>78</v>
      </c>
      <c r="C46" s="80">
        <v>38524</v>
      </c>
      <c r="D46" s="30"/>
      <c r="E46" s="31" t="s">
        <v>61</v>
      </c>
      <c r="F46" s="78"/>
      <c r="G46" s="78"/>
      <c r="H46" s="162" t="s">
        <v>62</v>
      </c>
      <c r="I46" s="212">
        <f>'Your Predictions'!I46</f>
      </c>
      <c r="J46" s="36"/>
      <c r="K46" s="27" t="str">
        <f>VLOOKUP(BF46,BD43:BE46,2,FALSE)</f>
        <v>Togo</v>
      </c>
      <c r="L46" s="2">
        <f>VLOOKUP(K46,AR43:AZ46,2,FALSE)</f>
        <v>0</v>
      </c>
      <c r="M46" s="2">
        <f>VLOOKUP(K46,AR43:AZ46,3,FALSE)</f>
        <v>0</v>
      </c>
      <c r="N46" s="2">
        <f>VLOOKUP(K46,AR43:AZ46,4,FALSE)</f>
        <v>0</v>
      </c>
      <c r="O46" s="2">
        <f>VLOOKUP(K46,AR43:AZ46,5,FALSE)</f>
        <v>0</v>
      </c>
      <c r="P46" s="2">
        <f>VLOOKUP(K46,AR43:AZ46,6,FALSE)</f>
        <v>0</v>
      </c>
      <c r="Q46" s="2">
        <f>VLOOKUP(K46,AR43:AZ46,7,FALSE)</f>
        <v>0</v>
      </c>
      <c r="R46" s="2">
        <f>VLOOKUP(K46,AR43:AZ46,8,FALSE)</f>
        <v>0</v>
      </c>
      <c r="S46" s="2">
        <f>VLOOKUP(K46,AR43:AZ46,9,FALSE)</f>
        <v>0</v>
      </c>
      <c r="T46" s="212">
        <f>'Your Predictions'!T46</f>
      </c>
      <c r="U46" s="10"/>
      <c r="V46" s="217" t="s">
        <v>97</v>
      </c>
      <c r="W46" s="11"/>
      <c r="X46" s="111"/>
      <c r="Y46" s="113"/>
      <c r="Z46" s="32"/>
      <c r="AA46" s="110"/>
      <c r="AB46" s="112">
        <v>40</v>
      </c>
      <c r="AC46" s="138">
        <f>SUM($F$7:G46)</f>
        <v>0</v>
      </c>
      <c r="AD46" s="138">
        <f>IF(F46="","",ABS(AC46-'Your Predictions'!AC46))</f>
      </c>
      <c r="AE46" s="138"/>
      <c r="AF46" s="110">
        <f t="shared" si="0"/>
      </c>
      <c r="AG46" s="138">
        <f t="shared" si="1"/>
        <v>0</v>
      </c>
      <c r="AH46" s="138">
        <f t="shared" si="2"/>
        <v>0</v>
      </c>
      <c r="AI46" s="138">
        <f t="shared" si="3"/>
      </c>
      <c r="AJ46" s="138"/>
      <c r="AK46" s="138" t="str">
        <f t="shared" si="4"/>
        <v>draw</v>
      </c>
      <c r="AL46" s="110" t="str">
        <f t="shared" si="5"/>
        <v>draw</v>
      </c>
      <c r="AM46" s="138"/>
      <c r="AN46" s="139"/>
      <c r="AO46" s="139"/>
      <c r="AP46" s="139"/>
      <c r="AQ46" s="139"/>
      <c r="AR46" s="108" t="s">
        <v>68</v>
      </c>
      <c r="AS46" s="110">
        <f>COUNTIF($AF$7:$AI$54,AR46)</f>
        <v>0</v>
      </c>
      <c r="AT46" s="108">
        <f>COUNTIF(winners,AR46)</f>
        <v>0</v>
      </c>
      <c r="AU46" s="108">
        <f>AS46-(AT46+AV46)</f>
        <v>0</v>
      </c>
      <c r="AV46" s="108">
        <f>COUNTIF(losers,AR46)</f>
        <v>0</v>
      </c>
      <c r="AW46" s="108">
        <f>SUM(TogF)</f>
        <v>0</v>
      </c>
      <c r="AX46" s="108">
        <f>SUM(TogA)</f>
        <v>0</v>
      </c>
      <c r="AY46" s="108">
        <f>SUM(AW46-AX46)</f>
        <v>0</v>
      </c>
      <c r="AZ46" s="108">
        <f>SUM((AT46*3)+AU46)</f>
        <v>0</v>
      </c>
      <c r="BA46" s="108">
        <v>28</v>
      </c>
      <c r="BB46" s="108">
        <f>CODE(MID(AR46,2,1))</f>
        <v>111</v>
      </c>
      <c r="BC46" s="108">
        <f>CODE(AR46)</f>
        <v>84</v>
      </c>
      <c r="BD46" s="110">
        <f>SUM((AZ46*100)+(AY46*10)+(AW46)-(BC46/1000)-(BB46/10000)-(BA46/100000))</f>
        <v>-0.09538</v>
      </c>
      <c r="BE46" s="108" t="str">
        <f>AR46</f>
        <v>Togo</v>
      </c>
      <c r="BF46" s="141">
        <f>LARGE(BD43:BD46,4)</f>
        <v>-0.09538</v>
      </c>
      <c r="BG46" s="110"/>
      <c r="BH46" s="110"/>
      <c r="BI46" s="110"/>
      <c r="BJ46" s="110"/>
      <c r="BK46" s="110"/>
      <c r="BL46" s="110"/>
      <c r="BM46" s="110"/>
      <c r="BN46" s="110"/>
      <c r="BO46" s="110"/>
      <c r="BP46" s="108"/>
      <c r="BQ46" s="108"/>
      <c r="BR46" s="108"/>
    </row>
    <row r="47" spans="2:70" ht="16.5" thickBot="1">
      <c r="B47" s="171" t="s">
        <v>79</v>
      </c>
      <c r="C47" s="80">
        <v>38525</v>
      </c>
      <c r="D47" s="30"/>
      <c r="E47" s="31" t="s">
        <v>27</v>
      </c>
      <c r="F47" s="78"/>
      <c r="G47" s="78"/>
      <c r="H47" s="162" t="s">
        <v>24</v>
      </c>
      <c r="I47" s="212">
        <f>'Your Predictions'!I47</f>
      </c>
      <c r="J47" s="36"/>
      <c r="K47" s="54"/>
      <c r="L47" s="4"/>
      <c r="M47" s="4"/>
      <c r="N47" s="4"/>
      <c r="O47" s="4"/>
      <c r="P47" s="4"/>
      <c r="Q47" s="4"/>
      <c r="R47" s="4"/>
      <c r="S47" s="4"/>
      <c r="T47" s="212"/>
      <c r="U47" s="10"/>
      <c r="V47" s="218"/>
      <c r="W47" s="11"/>
      <c r="X47" s="111"/>
      <c r="Y47" s="113"/>
      <c r="Z47" s="32"/>
      <c r="AA47" s="110"/>
      <c r="AB47" s="112">
        <v>41</v>
      </c>
      <c r="AC47" s="138">
        <f>SUM($F$7:G47)</f>
        <v>0</v>
      </c>
      <c r="AD47" s="138">
        <f>IF(F47="","",ABS(AC47-'Your Predictions'!AC47))</f>
      </c>
      <c r="AE47" s="138"/>
      <c r="AF47" s="110">
        <f t="shared" si="0"/>
      </c>
      <c r="AG47" s="138">
        <f t="shared" si="1"/>
        <v>0</v>
      </c>
      <c r="AH47" s="138">
        <f t="shared" si="2"/>
        <v>0</v>
      </c>
      <c r="AI47" s="138">
        <f t="shared" si="3"/>
      </c>
      <c r="AJ47" s="138"/>
      <c r="AK47" s="138" t="str">
        <f t="shared" si="4"/>
        <v>draw</v>
      </c>
      <c r="AL47" s="110" t="str">
        <f t="shared" si="5"/>
        <v>draw</v>
      </c>
      <c r="AM47" s="138"/>
      <c r="AN47" s="139"/>
      <c r="AO47" s="139"/>
      <c r="AP47" s="139"/>
      <c r="AQ47" s="139"/>
      <c r="BQ47" s="108"/>
      <c r="BR47" s="108"/>
    </row>
    <row r="48" spans="2:70" ht="16.5" thickBot="1">
      <c r="B48" s="171" t="s">
        <v>79</v>
      </c>
      <c r="C48" s="80">
        <v>38525</v>
      </c>
      <c r="D48" s="30"/>
      <c r="E48" s="31" t="s">
        <v>63</v>
      </c>
      <c r="F48" s="78"/>
      <c r="G48" s="78"/>
      <c r="H48" s="162" t="s">
        <v>64</v>
      </c>
      <c r="I48" s="212">
        <f>'Your Predictions'!I48</f>
      </c>
      <c r="J48" s="36"/>
      <c r="K48" s="127" t="s">
        <v>85</v>
      </c>
      <c r="L48" s="129" t="s">
        <v>7</v>
      </c>
      <c r="M48" s="129" t="s">
        <v>8</v>
      </c>
      <c r="N48" s="129" t="s">
        <v>9</v>
      </c>
      <c r="O48" s="129" t="s">
        <v>10</v>
      </c>
      <c r="P48" s="129" t="s">
        <v>11</v>
      </c>
      <c r="Q48" s="129" t="s">
        <v>12</v>
      </c>
      <c r="R48" s="129" t="s">
        <v>13</v>
      </c>
      <c r="S48" s="129" t="s">
        <v>14</v>
      </c>
      <c r="T48" s="212"/>
      <c r="U48" s="10"/>
      <c r="W48" s="11"/>
      <c r="X48" s="111"/>
      <c r="Y48" s="113"/>
      <c r="Z48" s="32"/>
      <c r="AA48" s="110"/>
      <c r="AB48" s="112">
        <v>42</v>
      </c>
      <c r="AC48" s="138">
        <f>SUM($F$7:G48)</f>
        <v>0</v>
      </c>
      <c r="AD48" s="138">
        <f>IF(F48="","",ABS(AC48-'Your Predictions'!AC48))</f>
      </c>
      <c r="AE48" s="138"/>
      <c r="AF48" s="110">
        <f t="shared" si="0"/>
      </c>
      <c r="AG48" s="138">
        <f t="shared" si="1"/>
        <v>0</v>
      </c>
      <c r="AH48" s="138">
        <f t="shared" si="2"/>
        <v>0</v>
      </c>
      <c r="AI48" s="138">
        <f t="shared" si="3"/>
      </c>
      <c r="AJ48" s="138"/>
      <c r="AK48" s="138" t="str">
        <f t="shared" si="4"/>
        <v>draw</v>
      </c>
      <c r="AL48" s="110" t="str">
        <f t="shared" si="5"/>
        <v>draw</v>
      </c>
      <c r="AM48" s="138"/>
      <c r="AN48" s="139"/>
      <c r="AO48" s="139"/>
      <c r="AP48" s="139"/>
      <c r="AQ48" s="139"/>
      <c r="AR48" s="143" t="s">
        <v>85</v>
      </c>
      <c r="AS48" s="108" t="s">
        <v>7</v>
      </c>
      <c r="AT48" s="108" t="s">
        <v>8</v>
      </c>
      <c r="AU48" s="108" t="s">
        <v>9</v>
      </c>
      <c r="AV48" s="108" t="s">
        <v>10</v>
      </c>
      <c r="AW48" s="108" t="s">
        <v>11</v>
      </c>
      <c r="AX48" s="108" t="s">
        <v>12</v>
      </c>
      <c r="AY48" s="108" t="s">
        <v>17</v>
      </c>
      <c r="AZ48" s="108" t="s">
        <v>14</v>
      </c>
      <c r="BA48" s="108"/>
      <c r="BB48" s="108"/>
      <c r="BC48" s="108"/>
      <c r="BD48" s="110"/>
      <c r="BE48" s="108"/>
      <c r="BF48" s="141"/>
      <c r="BG48" s="108"/>
      <c r="BH48" s="108"/>
      <c r="BI48" s="108"/>
      <c r="BJ48" s="108"/>
      <c r="BK48" s="108"/>
      <c r="BL48" s="108"/>
      <c r="BM48" s="108"/>
      <c r="BN48" s="108"/>
      <c r="BO48" s="108"/>
      <c r="BP48" s="108"/>
      <c r="BQ48" s="108"/>
      <c r="BR48" s="108"/>
    </row>
    <row r="49" spans="2:70" ht="16.5" thickBot="1">
      <c r="B49" s="171" t="s">
        <v>79</v>
      </c>
      <c r="C49" s="80">
        <v>38525</v>
      </c>
      <c r="D49" s="30"/>
      <c r="E49" s="31" t="s">
        <v>66</v>
      </c>
      <c r="F49" s="78"/>
      <c r="G49" s="78"/>
      <c r="H49" s="162" t="s">
        <v>83</v>
      </c>
      <c r="I49" s="212">
        <f>'Your Predictions'!I49</f>
      </c>
      <c r="J49" s="36"/>
      <c r="K49" s="27" t="str">
        <f>VLOOKUP(BF49,BD49:BE52,2,FALSE)</f>
        <v>Saudi Arabia</v>
      </c>
      <c r="L49" s="2">
        <f>VLOOKUP(K49,AR49:AZ52,2,FALSE)</f>
        <v>0</v>
      </c>
      <c r="M49" s="2">
        <f>VLOOKUP(K49,AR49:AZ52,3,FALSE)</f>
        <v>0</v>
      </c>
      <c r="N49" s="2">
        <f>VLOOKUP(K49,AR49:AZ52,4,FALSE)</f>
        <v>0</v>
      </c>
      <c r="O49" s="2">
        <f>VLOOKUP(K49,AR49:AZ52,5,FALSE)</f>
        <v>0</v>
      </c>
      <c r="P49" s="2">
        <f>VLOOKUP(K49,AR49:AZ52,6,FALSE)</f>
        <v>0</v>
      </c>
      <c r="Q49" s="2">
        <f>VLOOKUP(K49,AR49:AZ52,7,FALSE)</f>
        <v>0</v>
      </c>
      <c r="R49" s="2">
        <f>VLOOKUP(K49,AR49:AZ52,8,FALSE)</f>
        <v>0</v>
      </c>
      <c r="S49" s="2">
        <f>VLOOKUP(K49,AR49:AZ52,9,FALSE)</f>
        <v>0</v>
      </c>
      <c r="T49" s="212">
        <f>'Your Predictions'!T49</f>
      </c>
      <c r="U49" s="10"/>
      <c r="W49" s="11"/>
      <c r="X49" s="111"/>
      <c r="Y49" s="113"/>
      <c r="Z49" s="32"/>
      <c r="AA49" s="110"/>
      <c r="AB49" s="112">
        <v>43</v>
      </c>
      <c r="AC49" s="138">
        <f>SUM($F$7:G49)</f>
        <v>0</v>
      </c>
      <c r="AD49" s="138">
        <f>IF(F49="","",ABS(AC49-'Your Predictions'!AC49))</f>
      </c>
      <c r="AE49" s="138"/>
      <c r="AF49" s="110">
        <f t="shared" si="0"/>
      </c>
      <c r="AG49" s="138">
        <f t="shared" si="1"/>
        <v>0</v>
      </c>
      <c r="AH49" s="138">
        <f t="shared" si="2"/>
        <v>0</v>
      </c>
      <c r="AI49" s="138">
        <f t="shared" si="3"/>
      </c>
      <c r="AJ49" s="138"/>
      <c r="AK49" s="138" t="str">
        <f t="shared" si="4"/>
        <v>draw</v>
      </c>
      <c r="AL49" s="110" t="str">
        <f t="shared" si="5"/>
        <v>draw</v>
      </c>
      <c r="AM49" s="138"/>
      <c r="AN49" s="139"/>
      <c r="AO49" s="139"/>
      <c r="AP49" s="139"/>
      <c r="AQ49" s="139"/>
      <c r="AR49" s="108" t="s">
        <v>19</v>
      </c>
      <c r="AS49" s="110">
        <f>COUNTIF($AF$7:$AI$54,AR49)</f>
        <v>0</v>
      </c>
      <c r="AT49" s="108">
        <f>COUNTIF(winners,AR49)</f>
        <v>0</v>
      </c>
      <c r="AU49" s="108">
        <f>AS49-(AT49+AV49)</f>
        <v>0</v>
      </c>
      <c r="AV49" s="108">
        <f>COUNTIF(losers,AR49)</f>
        <v>0</v>
      </c>
      <c r="AW49" s="108">
        <f>SUM(SpaF)</f>
        <v>0</v>
      </c>
      <c r="AX49" s="108">
        <f>SUM(SpaA)</f>
        <v>0</v>
      </c>
      <c r="AY49" s="108">
        <f>SUM(AW49-AX49)</f>
        <v>0</v>
      </c>
      <c r="AZ49" s="108">
        <f>SUM((AT49*3)+AU49)</f>
        <v>0</v>
      </c>
      <c r="BA49" s="108">
        <v>29</v>
      </c>
      <c r="BB49" s="108">
        <f>CODE(MID(AR49,2,1))</f>
        <v>112</v>
      </c>
      <c r="BC49" s="108">
        <f>CODE(AR49)</f>
        <v>83</v>
      </c>
      <c r="BD49" s="110">
        <f>SUM((AZ49*100)+(AY49*10)+(AW49)-(BC49/1000)-(BB49/10000)-(BA49/100000))</f>
        <v>-0.09449</v>
      </c>
      <c r="BE49" s="108" t="str">
        <f>AR49</f>
        <v>Spain</v>
      </c>
      <c r="BF49" s="141">
        <f>LARGE(BD49:BD52,1)</f>
        <v>-0.09302</v>
      </c>
      <c r="BG49" s="110"/>
      <c r="BH49" s="110"/>
      <c r="BI49" s="110"/>
      <c r="BJ49" s="110"/>
      <c r="BK49" s="110"/>
      <c r="BL49" s="110"/>
      <c r="BM49" s="110"/>
      <c r="BN49" s="110"/>
      <c r="BO49" s="110"/>
      <c r="BP49" s="108"/>
      <c r="BQ49" s="108"/>
      <c r="BR49" s="108"/>
    </row>
    <row r="50" spans="2:70" ht="16.5" thickBot="1">
      <c r="B50" s="171" t="s">
        <v>79</v>
      </c>
      <c r="C50" s="80">
        <v>38525</v>
      </c>
      <c r="D50" s="30"/>
      <c r="E50" s="31" t="s">
        <v>21</v>
      </c>
      <c r="F50" s="78"/>
      <c r="G50" s="78"/>
      <c r="H50" s="163" t="s">
        <v>65</v>
      </c>
      <c r="I50" s="212">
        <f>'Your Predictions'!I50</f>
      </c>
      <c r="J50" s="36"/>
      <c r="K50" s="27" t="str">
        <f>VLOOKUP(BF50,BD49:BE52,2,FALSE)</f>
        <v>Spain</v>
      </c>
      <c r="L50" s="2">
        <f>VLOOKUP(K50,AR49:AZ52,2,FALSE)</f>
        <v>0</v>
      </c>
      <c r="M50" s="2">
        <f>VLOOKUP(K50,AR49:AZ52,3,FALSE)</f>
        <v>0</v>
      </c>
      <c r="N50" s="2">
        <f>VLOOKUP(K50,AR49:AZ52,4,FALSE)</f>
        <v>0</v>
      </c>
      <c r="O50" s="2">
        <f>VLOOKUP(K50,AR49:AZ52,5,FALSE)</f>
        <v>0</v>
      </c>
      <c r="P50" s="2">
        <f>VLOOKUP(K50,AR49:AZ52,6,FALSE)</f>
        <v>0</v>
      </c>
      <c r="Q50" s="2">
        <f>VLOOKUP(K50,AR49:AZ52,7,FALSE)</f>
        <v>0</v>
      </c>
      <c r="R50" s="2">
        <f>VLOOKUP(K50,AR49:AZ52,8,FALSE)</f>
        <v>0</v>
      </c>
      <c r="S50" s="2">
        <f>VLOOKUP(K50,AR49:AZ52,9,FALSE)</f>
        <v>0</v>
      </c>
      <c r="T50" s="212">
        <f>'Your Predictions'!T50</f>
      </c>
      <c r="U50" s="10"/>
      <c r="V50" s="12"/>
      <c r="W50" s="11"/>
      <c r="X50" s="111"/>
      <c r="Y50" s="113"/>
      <c r="Z50" s="32"/>
      <c r="AA50" s="110"/>
      <c r="AB50" s="112">
        <v>44</v>
      </c>
      <c r="AC50" s="138">
        <f>SUM($F$7:G50)</f>
        <v>0</v>
      </c>
      <c r="AD50" s="138">
        <f>IF(F50="","",ABS(AC50-'Your Predictions'!AC50))</f>
      </c>
      <c r="AE50" s="138"/>
      <c r="AF50" s="110">
        <f t="shared" si="0"/>
      </c>
      <c r="AG50" s="138">
        <f t="shared" si="1"/>
        <v>0</v>
      </c>
      <c r="AH50" s="138">
        <f t="shared" si="2"/>
        <v>0</v>
      </c>
      <c r="AI50" s="138">
        <f t="shared" si="3"/>
      </c>
      <c r="AJ50" s="138"/>
      <c r="AK50" s="138" t="str">
        <f t="shared" si="4"/>
        <v>draw</v>
      </c>
      <c r="AL50" s="110" t="str">
        <f t="shared" si="5"/>
        <v>draw</v>
      </c>
      <c r="AM50" s="138"/>
      <c r="AN50" s="139"/>
      <c r="AO50" s="139"/>
      <c r="AP50" s="139"/>
      <c r="AQ50" s="139"/>
      <c r="AR50" s="108" t="s">
        <v>69</v>
      </c>
      <c r="AS50" s="110">
        <f>COUNTIF($AF$7:$AI$54,AR50)</f>
        <v>0</v>
      </c>
      <c r="AT50" s="108">
        <f>COUNTIF(winners,AR50)</f>
        <v>0</v>
      </c>
      <c r="AU50" s="108">
        <f>AS50-(AT50+AV50)</f>
        <v>0</v>
      </c>
      <c r="AV50" s="108">
        <f>COUNTIF(losers,AR50)</f>
        <v>0</v>
      </c>
      <c r="AW50" s="108">
        <f>SUM(UkrF)</f>
        <v>0</v>
      </c>
      <c r="AX50" s="108">
        <f>SUM(UkrA)</f>
        <v>0</v>
      </c>
      <c r="AY50" s="108">
        <f>SUM(AW50-AX50)</f>
        <v>0</v>
      </c>
      <c r="AZ50" s="108">
        <f>SUM((AT50*3)+AU50)</f>
        <v>0</v>
      </c>
      <c r="BA50" s="108">
        <v>30</v>
      </c>
      <c r="BB50" s="108">
        <f>CODE(MID(AR50,2,1))</f>
        <v>107</v>
      </c>
      <c r="BC50" s="108">
        <f>CODE(AR50)</f>
        <v>85</v>
      </c>
      <c r="BD50" s="110">
        <f>SUM((AZ50*100)+(AY50*10)+(AW50)-(BC50/1000)-(BB50/10000)-(BA50/100000))</f>
        <v>-0.096</v>
      </c>
      <c r="BE50" s="108" t="str">
        <f>AR50</f>
        <v>Ukraine</v>
      </c>
      <c r="BF50" s="141">
        <f>LARGE(BD49:BD52,2)</f>
        <v>-0.09449</v>
      </c>
      <c r="BG50" s="110"/>
      <c r="BH50" s="110"/>
      <c r="BI50" s="110"/>
      <c r="BJ50" s="110"/>
      <c r="BK50" s="110"/>
      <c r="BL50" s="110"/>
      <c r="BM50" s="110"/>
      <c r="BN50" s="110"/>
      <c r="BO50" s="110"/>
      <c r="BP50" s="108"/>
      <c r="BQ50" s="108"/>
      <c r="BR50" s="108"/>
    </row>
    <row r="51" spans="2:70" ht="16.5" thickBot="1">
      <c r="B51" s="171" t="s">
        <v>73</v>
      </c>
      <c r="C51" s="80">
        <v>38526</v>
      </c>
      <c r="D51" s="30"/>
      <c r="E51" s="31" t="s">
        <v>68</v>
      </c>
      <c r="F51" s="78"/>
      <c r="G51" s="78"/>
      <c r="H51" s="162" t="s">
        <v>22</v>
      </c>
      <c r="I51" s="212">
        <f>'Your Predictions'!I51</f>
      </c>
      <c r="J51" s="36"/>
      <c r="K51" s="27" t="str">
        <f>VLOOKUP(BF51,BD49:BE52,2,FALSE)</f>
        <v>Ukraine</v>
      </c>
      <c r="L51" s="2">
        <f>VLOOKUP(K51,AR49:AZ52,2,FALSE)</f>
        <v>0</v>
      </c>
      <c r="M51" s="2">
        <f>VLOOKUP(K51,AR49:AZ52,3,FALSE)</f>
        <v>0</v>
      </c>
      <c r="N51" s="2">
        <f>VLOOKUP(K51,AR49:AZ52,4,FALSE)</f>
        <v>0</v>
      </c>
      <c r="O51" s="2">
        <f>VLOOKUP(K51,AR49:AZ52,5,FALSE)</f>
        <v>0</v>
      </c>
      <c r="P51" s="2">
        <f>VLOOKUP(K51,AR49:AZ52,6,FALSE)</f>
        <v>0</v>
      </c>
      <c r="Q51" s="2">
        <f>VLOOKUP(K51,AR49:AZ52,7,FALSE)</f>
        <v>0</v>
      </c>
      <c r="R51" s="2">
        <f>VLOOKUP(K51,AR49:AZ52,8,FALSE)</f>
        <v>0</v>
      </c>
      <c r="S51" s="2">
        <f>VLOOKUP(K51,AR49:AZ52,9,FALSE)</f>
        <v>0</v>
      </c>
      <c r="T51" s="212">
        <f>'Your Predictions'!T51</f>
      </c>
      <c r="U51" s="10"/>
      <c r="V51" s="12"/>
      <c r="W51" s="11"/>
      <c r="X51" s="111"/>
      <c r="Y51" s="113"/>
      <c r="Z51" s="32"/>
      <c r="AA51" s="110"/>
      <c r="AB51" s="112">
        <v>45</v>
      </c>
      <c r="AC51" s="138">
        <f>SUM($F$7:G51)</f>
        <v>0</v>
      </c>
      <c r="AD51" s="138">
        <f>IF(F51="","",ABS(AC51-'Your Predictions'!AC51))</f>
      </c>
      <c r="AE51" s="138"/>
      <c r="AF51" s="110">
        <f t="shared" si="0"/>
      </c>
      <c r="AG51" s="138">
        <f t="shared" si="1"/>
        <v>0</v>
      </c>
      <c r="AH51" s="138">
        <f t="shared" si="2"/>
        <v>0</v>
      </c>
      <c r="AI51" s="138">
        <f t="shared" si="3"/>
      </c>
      <c r="AJ51" s="138"/>
      <c r="AK51" s="138" t="str">
        <f t="shared" si="4"/>
        <v>draw</v>
      </c>
      <c r="AL51" s="110" t="str">
        <f t="shared" si="5"/>
        <v>draw</v>
      </c>
      <c r="AM51" s="138"/>
      <c r="AN51" s="139"/>
      <c r="AO51" s="139"/>
      <c r="AP51" s="139"/>
      <c r="AQ51" s="139"/>
      <c r="AR51" s="108" t="s">
        <v>70</v>
      </c>
      <c r="AS51" s="110">
        <f>COUNTIF($AF$7:$AI$54,AR51)</f>
        <v>0</v>
      </c>
      <c r="AT51" s="108">
        <f>COUNTIF(winners,AR51)</f>
        <v>0</v>
      </c>
      <c r="AU51" s="108">
        <f>AS51-(AT51+AV51)</f>
        <v>0</v>
      </c>
      <c r="AV51" s="108">
        <f>COUNTIF(losers,AR51)</f>
        <v>0</v>
      </c>
      <c r="AW51" s="108">
        <f>SUM(TunF)</f>
        <v>0</v>
      </c>
      <c r="AX51" s="108">
        <f>SUM(TunA)</f>
        <v>0</v>
      </c>
      <c r="AY51" s="108">
        <f>SUM(AW51-AX51)</f>
        <v>0</v>
      </c>
      <c r="AZ51" s="108">
        <f>SUM((AT51*3)+AU51)</f>
        <v>0</v>
      </c>
      <c r="BA51" s="108">
        <v>31</v>
      </c>
      <c r="BB51" s="108">
        <f>CODE(MID(AR51,2,1))</f>
        <v>117</v>
      </c>
      <c r="BC51" s="108">
        <f>CODE(AR51)</f>
        <v>84</v>
      </c>
      <c r="BD51" s="110">
        <f>SUM((AZ51*100)+(AY51*10)+(AW51)-(BC51/1000)-(BB51/10000)-(BA51/100000))</f>
        <v>-0.09601000000000001</v>
      </c>
      <c r="BE51" s="108" t="str">
        <f>AR51</f>
        <v>Tunisia</v>
      </c>
      <c r="BF51" s="141">
        <f>LARGE(BD49:BD52,3)</f>
        <v>-0.096</v>
      </c>
      <c r="BG51" s="110"/>
      <c r="BH51" s="110"/>
      <c r="BI51" s="110"/>
      <c r="BJ51" s="110"/>
      <c r="BK51" s="110"/>
      <c r="BL51" s="110"/>
      <c r="BM51" s="110"/>
      <c r="BN51" s="110"/>
      <c r="BO51" s="110"/>
      <c r="BP51" s="108"/>
      <c r="BQ51" s="108"/>
      <c r="BR51" s="108"/>
    </row>
    <row r="52" spans="2:70" ht="16.5" thickBot="1">
      <c r="B52" s="171" t="s">
        <v>73</v>
      </c>
      <c r="C52" s="80">
        <v>38526</v>
      </c>
      <c r="D52" s="30"/>
      <c r="E52" s="31" t="s">
        <v>20</v>
      </c>
      <c r="F52" s="78"/>
      <c r="G52" s="78"/>
      <c r="H52" s="162" t="s">
        <v>67</v>
      </c>
      <c r="I52" s="212">
        <f>'Your Predictions'!I52</f>
      </c>
      <c r="J52" s="36"/>
      <c r="K52" s="27" t="str">
        <f>VLOOKUP(BF52,BD49:BE52,2,FALSE)</f>
        <v>Tunisia</v>
      </c>
      <c r="L52" s="2">
        <f>VLOOKUP(K52,AR49:AZ52,2,FALSE)</f>
        <v>0</v>
      </c>
      <c r="M52" s="2">
        <f>VLOOKUP(K52,AR49:AZ52,3,FALSE)</f>
        <v>0</v>
      </c>
      <c r="N52" s="2">
        <f>VLOOKUP(K52,AR49:AZ52,4,FALSE)</f>
        <v>0</v>
      </c>
      <c r="O52" s="2">
        <f>VLOOKUP(K52,AR49:AZ52,5,FALSE)</f>
        <v>0</v>
      </c>
      <c r="P52" s="2">
        <f>VLOOKUP(K52,AR49:AZ52,6,FALSE)</f>
        <v>0</v>
      </c>
      <c r="Q52" s="2">
        <f>VLOOKUP(K52,AR49:AZ52,7,FALSE)</f>
        <v>0</v>
      </c>
      <c r="R52" s="2">
        <f>VLOOKUP(K52,AR49:AZ52,8,FALSE)</f>
        <v>0</v>
      </c>
      <c r="S52" s="2">
        <f>VLOOKUP(K52,AR49:AZ52,9,FALSE)</f>
        <v>0</v>
      </c>
      <c r="T52" s="212">
        <f>'Your Predictions'!T52</f>
      </c>
      <c r="U52" s="10"/>
      <c r="W52" s="11"/>
      <c r="X52" s="111"/>
      <c r="Y52" s="113"/>
      <c r="Z52" s="32"/>
      <c r="AA52" s="110"/>
      <c r="AB52" s="112">
        <v>46</v>
      </c>
      <c r="AC52" s="138">
        <f>SUM($F$7:G52)</f>
        <v>0</v>
      </c>
      <c r="AD52" s="138">
        <f>IF(F52="","",ABS(AC52-'Your Predictions'!AC52))</f>
      </c>
      <c r="AE52" s="138"/>
      <c r="AF52" s="110">
        <f t="shared" si="0"/>
      </c>
      <c r="AG52" s="138">
        <f t="shared" si="1"/>
        <v>0</v>
      </c>
      <c r="AH52" s="138">
        <f t="shared" si="2"/>
        <v>0</v>
      </c>
      <c r="AI52" s="138">
        <f t="shared" si="3"/>
      </c>
      <c r="AJ52" s="138"/>
      <c r="AK52" s="138" t="str">
        <f t="shared" si="4"/>
        <v>draw</v>
      </c>
      <c r="AL52" s="110" t="str">
        <f t="shared" si="5"/>
        <v>draw</v>
      </c>
      <c r="AM52" s="138"/>
      <c r="AN52" s="139"/>
      <c r="AO52" s="139"/>
      <c r="AP52" s="139"/>
      <c r="AQ52" s="139"/>
      <c r="AR52" s="108" t="s">
        <v>71</v>
      </c>
      <c r="AS52" s="110">
        <f>COUNTIF($AF$7:$AI$54,AR52)</f>
        <v>0</v>
      </c>
      <c r="AT52" s="108">
        <f>COUNTIF(winners,AR52)</f>
        <v>0</v>
      </c>
      <c r="AU52" s="108">
        <f>AS52-(AT52+AV52)</f>
        <v>0</v>
      </c>
      <c r="AV52" s="108">
        <f>COUNTIF(losers,AR52)</f>
        <v>0</v>
      </c>
      <c r="AW52" s="108">
        <f>SUM(SauF)</f>
        <v>0</v>
      </c>
      <c r="AX52" s="108">
        <f>SUM(SauA)</f>
        <v>0</v>
      </c>
      <c r="AY52" s="108">
        <f>SUM(AW52-AX52)</f>
        <v>0</v>
      </c>
      <c r="AZ52" s="108">
        <f>SUM((AT52*3)+AU52)</f>
        <v>0</v>
      </c>
      <c r="BA52" s="108">
        <v>32</v>
      </c>
      <c r="BB52" s="108">
        <f>CODE(MID(AR52,2,1))</f>
        <v>97</v>
      </c>
      <c r="BC52" s="108">
        <f>CODE(AR52)</f>
        <v>83</v>
      </c>
      <c r="BD52" s="110">
        <f>SUM((AZ52*100)+(AY52*10)+(AW52)-(BC52/1000)-(BB52/10000)-(BA52/100000))</f>
        <v>-0.09302</v>
      </c>
      <c r="BE52" s="108" t="str">
        <f>AR52</f>
        <v>Saudi Arabia</v>
      </c>
      <c r="BF52" s="141">
        <f>LARGE(BD49:BD52,4)</f>
        <v>-0.09601000000000001</v>
      </c>
      <c r="BG52" s="110"/>
      <c r="BH52" s="110"/>
      <c r="BI52" s="110"/>
      <c r="BJ52" s="110"/>
      <c r="BK52" s="110"/>
      <c r="BL52" s="110"/>
      <c r="BM52" s="110"/>
      <c r="BN52" s="110"/>
      <c r="BO52" s="110"/>
      <c r="BP52" s="108"/>
      <c r="BQ52" s="108"/>
      <c r="BR52" s="108"/>
    </row>
    <row r="53" spans="2:70" ht="16.5" thickBot="1">
      <c r="B53" s="171" t="s">
        <v>73</v>
      </c>
      <c r="C53" s="80">
        <v>38526</v>
      </c>
      <c r="D53" s="30"/>
      <c r="E53" s="31" t="s">
        <v>71</v>
      </c>
      <c r="F53" s="78"/>
      <c r="G53" s="78"/>
      <c r="H53" s="162" t="s">
        <v>19</v>
      </c>
      <c r="I53" s="212">
        <f>'Your Predictions'!I53</f>
      </c>
      <c r="J53" s="36"/>
      <c r="K53" s="54"/>
      <c r="L53" s="4"/>
      <c r="M53" s="4"/>
      <c r="N53" s="4"/>
      <c r="O53" s="4"/>
      <c r="P53" s="4"/>
      <c r="Q53" s="4"/>
      <c r="R53" s="4"/>
      <c r="S53" s="4"/>
      <c r="T53" s="10"/>
      <c r="U53" s="10"/>
      <c r="W53" s="11"/>
      <c r="X53" s="111"/>
      <c r="Y53" s="113"/>
      <c r="Z53" s="32"/>
      <c r="AA53" s="110"/>
      <c r="AB53" s="112">
        <v>47</v>
      </c>
      <c r="AC53" s="138">
        <f>SUM($F$7:G53)</f>
        <v>0</v>
      </c>
      <c r="AD53" s="138">
        <f>IF(F53="","",ABS(AC53-'Your Predictions'!AC53))</f>
      </c>
      <c r="AE53" s="138"/>
      <c r="AF53" s="110">
        <f t="shared" si="0"/>
      </c>
      <c r="AG53" s="138">
        <f t="shared" si="1"/>
        <v>0</v>
      </c>
      <c r="AH53" s="138">
        <f t="shared" si="2"/>
        <v>0</v>
      </c>
      <c r="AI53" s="138">
        <f t="shared" si="3"/>
      </c>
      <c r="AJ53" s="138"/>
      <c r="AK53" s="138" t="str">
        <f t="shared" si="4"/>
        <v>draw</v>
      </c>
      <c r="AL53" s="110" t="str">
        <f t="shared" si="5"/>
        <v>draw</v>
      </c>
      <c r="AM53" s="138"/>
      <c r="AN53" s="139"/>
      <c r="AO53" s="139"/>
      <c r="AP53" s="139"/>
      <c r="AQ53" s="139"/>
      <c r="BP53" s="108"/>
      <c r="BQ53" s="108"/>
      <c r="BR53" s="108"/>
    </row>
    <row r="54" spans="2:70" ht="16.5" thickBot="1">
      <c r="B54" s="171" t="s">
        <v>73</v>
      </c>
      <c r="C54" s="80">
        <v>38526</v>
      </c>
      <c r="D54" s="30"/>
      <c r="E54" s="31" t="s">
        <v>69</v>
      </c>
      <c r="F54" s="78"/>
      <c r="G54" s="78"/>
      <c r="H54" s="162" t="s">
        <v>70</v>
      </c>
      <c r="I54" s="212">
        <f>'Your Predictions'!I54</f>
      </c>
      <c r="J54" s="36"/>
      <c r="K54" s="54"/>
      <c r="L54" s="4"/>
      <c r="M54" s="4"/>
      <c r="N54" s="4"/>
      <c r="O54" s="4"/>
      <c r="P54" s="4"/>
      <c r="Q54" s="4"/>
      <c r="R54" s="4"/>
      <c r="S54" s="4"/>
      <c r="T54" s="10"/>
      <c r="U54" s="10"/>
      <c r="W54" s="11"/>
      <c r="X54" s="111"/>
      <c r="Y54" s="113"/>
      <c r="Z54" s="32"/>
      <c r="AA54" s="110"/>
      <c r="AB54" s="112">
        <v>48</v>
      </c>
      <c r="AC54" s="138">
        <f>SUM($F$7:G54)</f>
        <v>0</v>
      </c>
      <c r="AD54" s="138">
        <f>IF(F54="","",ABS(AC54-'Your Predictions'!AC54))</f>
      </c>
      <c r="AE54" s="138"/>
      <c r="AF54" s="110">
        <f t="shared" si="0"/>
      </c>
      <c r="AG54" s="138">
        <f t="shared" si="1"/>
        <v>0</v>
      </c>
      <c r="AH54" s="138">
        <f t="shared" si="2"/>
        <v>0</v>
      </c>
      <c r="AI54" s="138">
        <f t="shared" si="3"/>
      </c>
      <c r="AJ54" s="138"/>
      <c r="AK54" s="138" t="str">
        <f t="shared" si="4"/>
        <v>draw</v>
      </c>
      <c r="AL54" s="110" t="str">
        <f t="shared" si="5"/>
        <v>draw</v>
      </c>
      <c r="AM54" s="138"/>
      <c r="AN54" s="139"/>
      <c r="AO54" s="139"/>
      <c r="AP54" s="139"/>
      <c r="AQ54" s="139"/>
      <c r="BP54" s="108"/>
      <c r="BQ54" s="108"/>
      <c r="BR54" s="108"/>
    </row>
    <row r="55" spans="2:70" ht="18.75">
      <c r="B55" s="5"/>
      <c r="C55" s="80"/>
      <c r="D55" s="30"/>
      <c r="E55" s="39">
        <f>'Your Predictions'!E55</f>
      </c>
      <c r="F55" s="83"/>
      <c r="G55" s="83"/>
      <c r="I55" s="98" t="s">
        <v>46</v>
      </c>
      <c r="J55" s="36"/>
      <c r="K55" s="54"/>
      <c r="L55" s="4"/>
      <c r="M55" s="4"/>
      <c r="N55" s="4"/>
      <c r="O55" s="4"/>
      <c r="P55" s="4"/>
      <c r="Q55" s="4"/>
      <c r="R55" s="4"/>
      <c r="S55" s="4"/>
      <c r="T55" s="10"/>
      <c r="U55" s="10"/>
      <c r="V55" s="215"/>
      <c r="W55" s="11"/>
      <c r="X55" s="111"/>
      <c r="Y55" s="113"/>
      <c r="Z55" s="32"/>
      <c r="AA55" s="110"/>
      <c r="AB55" s="138"/>
      <c r="AC55" s="138"/>
      <c r="AD55" s="138"/>
      <c r="AE55" s="138"/>
      <c r="AF55" s="110"/>
      <c r="AG55" s="138"/>
      <c r="AH55" s="138"/>
      <c r="AI55" s="138"/>
      <c r="AJ55" s="138"/>
      <c r="AK55" s="138"/>
      <c r="AL55" s="110"/>
      <c r="AM55" s="138"/>
      <c r="AN55" s="139"/>
      <c r="AO55" s="139"/>
      <c r="AP55" s="139"/>
      <c r="AQ55" s="139"/>
      <c r="BP55" s="108"/>
      <c r="BQ55" s="108"/>
      <c r="BR55" s="108"/>
    </row>
    <row r="56" spans="2:70" ht="18.75">
      <c r="B56" s="5"/>
      <c r="C56" s="80"/>
      <c r="D56" s="30"/>
      <c r="E56" s="39">
        <f>'Your Predictions'!E56</f>
      </c>
      <c r="F56" s="83"/>
      <c r="G56" s="83"/>
      <c r="I56" s="98">
        <f>'Your Predictions'!I56</f>
        <v>0</v>
      </c>
      <c r="K56" s="54"/>
      <c r="L56" s="4"/>
      <c r="M56" s="4"/>
      <c r="N56" s="4"/>
      <c r="O56" s="4"/>
      <c r="P56" s="4"/>
      <c r="Q56" s="4"/>
      <c r="R56" s="4"/>
      <c r="S56" s="4"/>
      <c r="T56" s="10"/>
      <c r="U56" s="10"/>
      <c r="V56" s="215"/>
      <c r="W56" s="11"/>
      <c r="X56" s="111"/>
      <c r="Y56" s="113"/>
      <c r="Z56" s="32"/>
      <c r="AA56" s="110"/>
      <c r="AB56" s="138"/>
      <c r="AC56" s="138"/>
      <c r="AD56" s="138"/>
      <c r="AE56" s="138"/>
      <c r="AF56" s="110"/>
      <c r="AG56" s="138"/>
      <c r="AH56" s="138"/>
      <c r="AI56" s="138"/>
      <c r="AJ56" s="138"/>
      <c r="AK56" s="138"/>
      <c r="AL56" s="110"/>
      <c r="AM56" s="138"/>
      <c r="AN56" s="139"/>
      <c r="AO56" s="139"/>
      <c r="AP56" s="139"/>
      <c r="AQ56" s="139"/>
      <c r="BP56" s="108"/>
      <c r="BQ56" s="108"/>
      <c r="BR56" s="108"/>
    </row>
    <row r="57" spans="2:70" ht="18.75">
      <c r="B57" s="100" t="s">
        <v>80</v>
      </c>
      <c r="C57" s="80"/>
      <c r="D57" s="30"/>
      <c r="E57" s="39"/>
      <c r="F57" s="83"/>
      <c r="G57" s="83"/>
      <c r="I57" s="98"/>
      <c r="K57" s="54"/>
      <c r="L57" s="4"/>
      <c r="M57" s="4"/>
      <c r="N57" s="4"/>
      <c r="O57" s="4"/>
      <c r="P57" s="4"/>
      <c r="Q57" s="4"/>
      <c r="R57" s="4"/>
      <c r="S57" s="4"/>
      <c r="T57" s="10"/>
      <c r="U57" s="10"/>
      <c r="V57" s="215"/>
      <c r="W57" s="11"/>
      <c r="X57" s="111"/>
      <c r="Y57" s="113"/>
      <c r="Z57" s="32"/>
      <c r="AA57" s="110"/>
      <c r="AB57" s="138"/>
      <c r="AC57" s="138"/>
      <c r="AD57" s="138"/>
      <c r="AE57" s="138"/>
      <c r="AF57" s="110"/>
      <c r="AG57" s="138"/>
      <c r="AH57" s="138"/>
      <c r="AI57" s="138"/>
      <c r="AJ57" s="138"/>
      <c r="AK57" s="138"/>
      <c r="AL57" s="110"/>
      <c r="AM57" s="138"/>
      <c r="AN57" s="139"/>
      <c r="AO57" s="139"/>
      <c r="AP57" s="139"/>
      <c r="AQ57" s="139"/>
      <c r="BP57" s="108"/>
      <c r="BQ57" s="108"/>
      <c r="BR57" s="108"/>
    </row>
    <row r="58" spans="2:70" ht="19.5" thickBot="1">
      <c r="B58" s="126"/>
      <c r="C58" s="194" t="s">
        <v>5</v>
      </c>
      <c r="D58" s="195"/>
      <c r="E58" s="196"/>
      <c r="F58" s="197"/>
      <c r="G58" s="197"/>
      <c r="H58" s="198"/>
      <c r="I58" s="199"/>
      <c r="K58" s="54"/>
      <c r="L58" s="4"/>
      <c r="M58" s="4"/>
      <c r="N58" s="4"/>
      <c r="O58" s="4"/>
      <c r="P58" s="4"/>
      <c r="Q58" s="4"/>
      <c r="R58" s="4"/>
      <c r="S58" s="4"/>
      <c r="T58" s="10"/>
      <c r="U58" s="10"/>
      <c r="V58" s="215"/>
      <c r="W58" s="11"/>
      <c r="X58" s="111"/>
      <c r="Y58" s="113"/>
      <c r="Z58" s="32"/>
      <c r="AA58" s="110">
        <v>16</v>
      </c>
      <c r="AB58" s="138"/>
      <c r="AC58" s="138" t="s">
        <v>90</v>
      </c>
      <c r="AD58" s="138"/>
      <c r="AE58" s="138"/>
      <c r="AF58" s="138"/>
      <c r="AG58" s="138"/>
      <c r="AH58" s="138"/>
      <c r="AI58" s="138"/>
      <c r="AJ58" s="138"/>
      <c r="AK58" s="138"/>
      <c r="AL58" s="110"/>
      <c r="AM58" s="138"/>
      <c r="AN58" s="139"/>
      <c r="AO58" s="139"/>
      <c r="AP58" s="139"/>
      <c r="AQ58" s="139"/>
      <c r="BP58" s="108"/>
      <c r="BQ58" s="108"/>
      <c r="BR58" s="108"/>
    </row>
    <row r="59" spans="1:70" ht="16.5" thickBot="1">
      <c r="A59">
        <v>1</v>
      </c>
      <c r="B59" s="5" t="s">
        <v>74</v>
      </c>
      <c r="C59" s="80">
        <v>38527</v>
      </c>
      <c r="D59" s="244" t="str">
        <f>IF((F59=G59),"pen","")</f>
        <v>pen</v>
      </c>
      <c r="E59" s="9" t="str">
        <f>IF(SUM(L7:L10)=12,K7,"Winner A")</f>
        <v>Winner A</v>
      </c>
      <c r="F59" s="78"/>
      <c r="G59" s="78"/>
      <c r="H59" s="165" t="str">
        <f>IF(SUM(L13:L16)=12,K14,"Runner-Up B")</f>
        <v>Runner-Up B</v>
      </c>
      <c r="I59" s="251" t="str">
        <f aca="true" t="shared" si="6" ref="I59:I66">IF((F59=G59),"pen","")</f>
        <v>pen</v>
      </c>
      <c r="K59" s="54"/>
      <c r="L59" s="4"/>
      <c r="M59" s="4"/>
      <c r="N59" s="4"/>
      <c r="O59" s="4"/>
      <c r="P59" s="4"/>
      <c r="Q59" s="4"/>
      <c r="R59" s="4"/>
      <c r="S59" s="4"/>
      <c r="T59" s="10"/>
      <c r="U59" s="10"/>
      <c r="V59" s="215"/>
      <c r="W59" s="11"/>
      <c r="X59" s="111"/>
      <c r="Y59" s="113"/>
      <c r="Z59" s="32"/>
      <c r="AA59" s="138" t="str">
        <f aca="true" t="shared" si="7" ref="AA59:AA66">IF(F59&gt;G59,E59,IF(G59&gt;F59,H59,"draw"))</f>
        <v>draw</v>
      </c>
      <c r="AB59" s="138"/>
      <c r="AC59" s="138" t="str">
        <f>IF(D59&gt;I59,E59,IF(I59&gt;D59,H59,"Winner Match 1"))</f>
        <v>Winner Match 1</v>
      </c>
      <c r="AD59" s="138"/>
      <c r="AE59" s="138"/>
      <c r="AF59" s="138"/>
      <c r="AG59" s="138"/>
      <c r="AH59" s="138"/>
      <c r="AI59" s="138"/>
      <c r="AJ59" s="138"/>
      <c r="AK59" s="138"/>
      <c r="AL59" s="110"/>
      <c r="AM59" s="138"/>
      <c r="AN59" s="139"/>
      <c r="AO59" s="139"/>
      <c r="AP59" s="139"/>
      <c r="AQ59" s="139"/>
      <c r="AR59" s="108"/>
      <c r="AS59" s="110"/>
      <c r="AT59" s="108"/>
      <c r="AU59" s="108"/>
      <c r="AV59" s="108"/>
      <c r="AW59" s="108"/>
      <c r="AX59" s="108"/>
      <c r="AY59" s="108"/>
      <c r="AZ59" s="108"/>
      <c r="BA59" s="108"/>
      <c r="BB59" s="108"/>
      <c r="BC59" s="108"/>
      <c r="BD59" s="110"/>
      <c r="BE59" s="108"/>
      <c r="BF59" s="136"/>
      <c r="BG59" s="108"/>
      <c r="BH59" s="108"/>
      <c r="BI59" s="108"/>
      <c r="BJ59" s="108"/>
      <c r="BK59" s="108"/>
      <c r="BL59" s="108"/>
      <c r="BM59" s="108"/>
      <c r="BN59" s="108"/>
      <c r="BO59" s="108"/>
      <c r="BP59" s="108"/>
      <c r="BQ59" s="108"/>
      <c r="BR59" s="108"/>
    </row>
    <row r="60" spans="1:70" ht="16.5" thickBot="1">
      <c r="A60">
        <v>2</v>
      </c>
      <c r="B60" s="5" t="s">
        <v>74</v>
      </c>
      <c r="C60" s="80">
        <v>38527</v>
      </c>
      <c r="D60" s="244" t="str">
        <f>IF((F60=G60),"pen","")</f>
        <v>pen</v>
      </c>
      <c r="E60" s="9" t="str">
        <f>IF(SUM(L19:L22)=12,K19,"Winner C")</f>
        <v>Winner C</v>
      </c>
      <c r="F60" s="78"/>
      <c r="G60" s="78"/>
      <c r="H60" s="165" t="str">
        <f>IF(SUM(L25:L28)=12,K26,"Runner-Up D")</f>
        <v>Runner-Up D</v>
      </c>
      <c r="I60" s="251" t="str">
        <f t="shared" si="6"/>
        <v>pen</v>
      </c>
      <c r="K60" s="54"/>
      <c r="L60" s="4"/>
      <c r="M60" s="4"/>
      <c r="N60" s="4"/>
      <c r="O60" s="4"/>
      <c r="P60" s="4"/>
      <c r="Q60" s="4"/>
      <c r="R60" s="4"/>
      <c r="S60" s="4"/>
      <c r="T60" s="10"/>
      <c r="U60" s="10"/>
      <c r="V60" s="215"/>
      <c r="W60" s="11"/>
      <c r="X60" s="111"/>
      <c r="Y60" s="113"/>
      <c r="Z60" s="32"/>
      <c r="AA60" s="138" t="str">
        <f t="shared" si="7"/>
        <v>draw</v>
      </c>
      <c r="AB60" s="138"/>
      <c r="AC60" s="138" t="str">
        <f>IF(D60&gt;I60,E60,IF(I60&gt;D60,H60,"Winner Match 2"))</f>
        <v>Winner Match 2</v>
      </c>
      <c r="AD60" s="138"/>
      <c r="AE60" s="138"/>
      <c r="AF60" s="138"/>
      <c r="AG60" s="138"/>
      <c r="AH60" s="138"/>
      <c r="AI60" s="138"/>
      <c r="AJ60" s="138"/>
      <c r="AK60" s="138"/>
      <c r="AL60" s="110"/>
      <c r="AM60" s="138"/>
      <c r="AN60" s="139"/>
      <c r="AO60" s="139"/>
      <c r="AP60" s="139"/>
      <c r="AQ60" s="139"/>
      <c r="AR60" s="108"/>
      <c r="AS60" s="110"/>
      <c r="AT60" s="108"/>
      <c r="AU60" s="108"/>
      <c r="AV60" s="108"/>
      <c r="AW60" s="108"/>
      <c r="AX60" s="108"/>
      <c r="AY60" s="108"/>
      <c r="AZ60" s="108"/>
      <c r="BA60" s="108"/>
      <c r="BB60" s="108"/>
      <c r="BC60" s="108"/>
      <c r="BD60" s="110"/>
      <c r="BE60" s="108"/>
      <c r="BF60" s="136"/>
      <c r="BG60" s="108"/>
      <c r="BH60" s="108"/>
      <c r="BI60" s="108"/>
      <c r="BJ60" s="108"/>
      <c r="BK60" s="108"/>
      <c r="BL60" s="108"/>
      <c r="BM60" s="108"/>
      <c r="BN60" s="108"/>
      <c r="BO60" s="108"/>
      <c r="BP60" s="108"/>
      <c r="BQ60" s="108"/>
      <c r="BR60" s="108"/>
    </row>
    <row r="61" spans="1:70" ht="16.5" thickBot="1">
      <c r="A61">
        <v>3</v>
      </c>
      <c r="B61" s="5" t="s">
        <v>75</v>
      </c>
      <c r="C61" s="80">
        <v>38528</v>
      </c>
      <c r="D61" s="244" t="str">
        <f aca="true" t="shared" si="8" ref="D61:D66">IF((F61=G61),"pen","")</f>
        <v>pen</v>
      </c>
      <c r="E61" s="9" t="str">
        <f>IF(SUM(L13:L16)=12,K13,"Winner B")</f>
        <v>Winner B</v>
      </c>
      <c r="F61" s="78"/>
      <c r="G61" s="78"/>
      <c r="H61" s="165" t="str">
        <f>IF(SUM(L7:L10)=12,K8,"Runner-Up A")</f>
        <v>Runner-Up A</v>
      </c>
      <c r="I61" s="251" t="str">
        <f t="shared" si="6"/>
        <v>pen</v>
      </c>
      <c r="K61" s="54"/>
      <c r="L61" s="4"/>
      <c r="M61" s="4"/>
      <c r="N61" s="4"/>
      <c r="O61" s="4"/>
      <c r="P61" s="4"/>
      <c r="Q61" s="4"/>
      <c r="R61" s="4"/>
      <c r="S61" s="4"/>
      <c r="T61" s="10"/>
      <c r="U61" s="10"/>
      <c r="V61" s="215"/>
      <c r="W61" s="11"/>
      <c r="X61" s="111"/>
      <c r="Y61" s="113"/>
      <c r="Z61" s="32"/>
      <c r="AA61" s="138" t="str">
        <f t="shared" si="7"/>
        <v>draw</v>
      </c>
      <c r="AB61" s="138"/>
      <c r="AC61" s="138" t="str">
        <f>IF(D61&gt;I61,E61,IF(I61&gt;D61,H61,"Winner Match 3"))</f>
        <v>Winner Match 3</v>
      </c>
      <c r="AD61" s="138"/>
      <c r="AE61" s="138"/>
      <c r="AF61" s="138"/>
      <c r="AG61" s="138"/>
      <c r="AH61" s="138"/>
      <c r="AI61" s="138"/>
      <c r="AJ61" s="138"/>
      <c r="AK61" s="138"/>
      <c r="AL61" s="110"/>
      <c r="AM61" s="138"/>
      <c r="AN61" s="139"/>
      <c r="AO61" s="139"/>
      <c r="AP61" s="139"/>
      <c r="AQ61" s="139"/>
      <c r="AR61" s="108"/>
      <c r="AS61" s="110"/>
      <c r="AT61" s="108"/>
      <c r="AU61" s="108"/>
      <c r="AV61" s="108"/>
      <c r="AW61" s="108"/>
      <c r="AX61" s="108"/>
      <c r="AY61" s="108"/>
      <c r="AZ61" s="108"/>
      <c r="BA61" s="108"/>
      <c r="BB61" s="108"/>
      <c r="BC61" s="108"/>
      <c r="BD61" s="110"/>
      <c r="BE61" s="108"/>
      <c r="BF61" s="136"/>
      <c r="BG61" s="108"/>
      <c r="BH61" s="108"/>
      <c r="BI61" s="108"/>
      <c r="BJ61" s="108"/>
      <c r="BK61" s="108"/>
      <c r="BL61" s="108"/>
      <c r="BM61" s="108"/>
      <c r="BN61" s="108"/>
      <c r="BO61" s="108"/>
      <c r="BP61" s="108"/>
      <c r="BQ61" s="108"/>
      <c r="BR61" s="108"/>
    </row>
    <row r="62" spans="1:70" ht="16.5" thickBot="1">
      <c r="A62">
        <v>4</v>
      </c>
      <c r="B62" s="5" t="s">
        <v>75</v>
      </c>
      <c r="C62" s="80">
        <v>38528</v>
      </c>
      <c r="D62" s="244" t="str">
        <f t="shared" si="8"/>
        <v>pen</v>
      </c>
      <c r="E62" s="9" t="str">
        <f>IF(SUM(L25:L28)=12,K25,"Winner D")</f>
        <v>Winner D</v>
      </c>
      <c r="F62" s="78"/>
      <c r="G62" s="78"/>
      <c r="H62" s="165" t="str">
        <f>IF(SUM(L19:L22)=12,K20,"Runner-Up C")</f>
        <v>Runner-Up C</v>
      </c>
      <c r="I62" s="251" t="str">
        <f t="shared" si="6"/>
        <v>pen</v>
      </c>
      <c r="K62" s="54"/>
      <c r="L62" s="4"/>
      <c r="M62" s="4"/>
      <c r="N62" s="4"/>
      <c r="O62" s="4"/>
      <c r="P62" s="4"/>
      <c r="Q62" s="4"/>
      <c r="R62" s="4"/>
      <c r="S62" s="4"/>
      <c r="T62" s="10"/>
      <c r="U62" s="10"/>
      <c r="V62" s="215"/>
      <c r="W62" s="11"/>
      <c r="X62" s="111"/>
      <c r="Y62" s="113"/>
      <c r="Z62" s="32"/>
      <c r="AA62" s="138" t="str">
        <f t="shared" si="7"/>
        <v>draw</v>
      </c>
      <c r="AB62" s="138"/>
      <c r="AC62" s="138" t="str">
        <f>IF(D62&gt;I62,E62,IF(I62&gt;D62,H62,"Winner Match 4"))</f>
        <v>Winner Match 4</v>
      </c>
      <c r="AD62" s="138"/>
      <c r="AE62" s="138"/>
      <c r="AF62" s="138"/>
      <c r="AG62" s="138"/>
      <c r="AH62" s="138"/>
      <c r="AI62" s="138"/>
      <c r="AJ62" s="138"/>
      <c r="AK62" s="138"/>
      <c r="AL62" s="110"/>
      <c r="AM62" s="138"/>
      <c r="AN62" s="139"/>
      <c r="AO62" s="139"/>
      <c r="AP62" s="139"/>
      <c r="AQ62" s="139"/>
      <c r="AR62" s="108"/>
      <c r="AS62" s="110"/>
      <c r="AT62" s="108"/>
      <c r="AU62" s="108"/>
      <c r="AV62" s="108"/>
      <c r="AW62" s="108"/>
      <c r="AX62" s="108"/>
      <c r="AY62" s="108"/>
      <c r="AZ62" s="108"/>
      <c r="BA62" s="108"/>
      <c r="BB62" s="108"/>
      <c r="BC62" s="108"/>
      <c r="BD62" s="110"/>
      <c r="BE62" s="108"/>
      <c r="BF62" s="136"/>
      <c r="BG62" s="108"/>
      <c r="BH62" s="108"/>
      <c r="BI62" s="108"/>
      <c r="BJ62" s="108"/>
      <c r="BK62" s="108"/>
      <c r="BL62" s="108"/>
      <c r="BM62" s="108"/>
      <c r="BN62" s="108"/>
      <c r="BO62" s="108"/>
      <c r="BP62" s="108"/>
      <c r="BQ62" s="108"/>
      <c r="BR62" s="108"/>
    </row>
    <row r="63" spans="1:70" ht="16.5" thickBot="1">
      <c r="A63">
        <v>5</v>
      </c>
      <c r="B63" s="5" t="s">
        <v>76</v>
      </c>
      <c r="C63" s="80">
        <v>38529</v>
      </c>
      <c r="D63" s="244" t="str">
        <f t="shared" si="8"/>
        <v>pen</v>
      </c>
      <c r="E63" s="9" t="str">
        <f>IF(SUM(L31:L34)=12,K31,"Winner E")</f>
        <v>Winner E</v>
      </c>
      <c r="F63" s="78"/>
      <c r="G63" s="78"/>
      <c r="H63" s="165" t="str">
        <f>IF(SUM(L37:L40)=12,K38,"Runner-Up F")</f>
        <v>Runner-Up F</v>
      </c>
      <c r="I63" s="251" t="str">
        <f t="shared" si="6"/>
        <v>pen</v>
      </c>
      <c r="K63" s="54"/>
      <c r="L63" s="4"/>
      <c r="M63" s="4"/>
      <c r="N63" s="4"/>
      <c r="O63" s="4"/>
      <c r="P63" s="4"/>
      <c r="Q63" s="4"/>
      <c r="R63" s="4"/>
      <c r="S63" s="4"/>
      <c r="T63" s="10"/>
      <c r="U63" s="10"/>
      <c r="V63" s="215"/>
      <c r="W63" s="11"/>
      <c r="X63" s="111"/>
      <c r="Y63" s="113"/>
      <c r="Z63" s="32"/>
      <c r="AA63" s="138" t="str">
        <f t="shared" si="7"/>
        <v>draw</v>
      </c>
      <c r="AB63" s="138"/>
      <c r="AC63" s="138" t="str">
        <f>IF(D63&gt;I63,E63,IF(I63&gt;D63,H63,"Winner Match 5"))</f>
        <v>Winner Match 5</v>
      </c>
      <c r="AD63" s="138"/>
      <c r="AE63" s="138"/>
      <c r="AF63" s="138"/>
      <c r="AG63" s="138"/>
      <c r="AH63" s="138"/>
      <c r="AI63" s="138"/>
      <c r="AJ63" s="138"/>
      <c r="AK63" s="138"/>
      <c r="AL63" s="110"/>
      <c r="AM63" s="138"/>
      <c r="AN63" s="139"/>
      <c r="AO63" s="139"/>
      <c r="AP63" s="139"/>
      <c r="AQ63" s="139"/>
      <c r="AR63" s="108"/>
      <c r="AS63" s="110"/>
      <c r="AT63" s="108"/>
      <c r="AU63" s="108"/>
      <c r="AV63" s="108"/>
      <c r="AW63" s="108"/>
      <c r="AX63" s="108"/>
      <c r="AY63" s="108"/>
      <c r="AZ63" s="108"/>
      <c r="BA63" s="108"/>
      <c r="BB63" s="108"/>
      <c r="BC63" s="108"/>
      <c r="BD63" s="110"/>
      <c r="BE63" s="108"/>
      <c r="BF63" s="136"/>
      <c r="BG63" s="108"/>
      <c r="BH63" s="108"/>
      <c r="BI63" s="108"/>
      <c r="BJ63" s="108"/>
      <c r="BK63" s="108"/>
      <c r="BL63" s="108"/>
      <c r="BM63" s="108"/>
      <c r="BN63" s="108"/>
      <c r="BO63" s="108"/>
      <c r="BP63" s="108"/>
      <c r="BQ63" s="108"/>
      <c r="BR63" s="108"/>
    </row>
    <row r="64" spans="1:70" ht="16.5" thickBot="1">
      <c r="A64">
        <v>6</v>
      </c>
      <c r="B64" s="5" t="s">
        <v>76</v>
      </c>
      <c r="C64" s="80">
        <v>38529</v>
      </c>
      <c r="D64" s="244" t="str">
        <f t="shared" si="8"/>
        <v>pen</v>
      </c>
      <c r="E64" s="9" t="str">
        <f>IF(SUM(L43:L46)=12,K43,"Winner G")</f>
        <v>Winner G</v>
      </c>
      <c r="F64" s="78"/>
      <c r="G64" s="78"/>
      <c r="H64" s="165" t="str">
        <f>IF(SUM(L49:L52)=12,K50,"Runner-Up H")</f>
        <v>Runner-Up H</v>
      </c>
      <c r="I64" s="251" t="str">
        <f t="shared" si="6"/>
        <v>pen</v>
      </c>
      <c r="K64" s="54"/>
      <c r="L64" s="4"/>
      <c r="M64" s="4"/>
      <c r="N64" s="4"/>
      <c r="O64" s="4"/>
      <c r="P64" s="4"/>
      <c r="Q64" s="4"/>
      <c r="R64" s="4"/>
      <c r="S64" s="4"/>
      <c r="T64" s="10"/>
      <c r="U64" s="10"/>
      <c r="V64" s="215"/>
      <c r="W64" s="11"/>
      <c r="X64" s="111"/>
      <c r="Y64" s="113"/>
      <c r="Z64" s="32"/>
      <c r="AA64" s="138" t="str">
        <f t="shared" si="7"/>
        <v>draw</v>
      </c>
      <c r="AB64" s="138"/>
      <c r="AC64" s="138" t="str">
        <f>IF(D64&gt;I64,E64,IF(I64&gt;D64,H64,"Winner Match 6"))</f>
        <v>Winner Match 6</v>
      </c>
      <c r="AD64" s="138"/>
      <c r="AE64" s="138"/>
      <c r="AF64" s="138"/>
      <c r="AG64" s="138"/>
      <c r="AH64" s="138"/>
      <c r="AI64" s="138"/>
      <c r="AJ64" s="138"/>
      <c r="AK64" s="138"/>
      <c r="AL64" s="110"/>
      <c r="AM64" s="138"/>
      <c r="AN64" s="139"/>
      <c r="AO64" s="139"/>
      <c r="AP64" s="139"/>
      <c r="AQ64" s="139"/>
      <c r="AR64" s="108"/>
      <c r="AS64" s="110"/>
      <c r="AT64" s="108"/>
      <c r="AU64" s="108"/>
      <c r="AV64" s="108"/>
      <c r="AW64" s="108"/>
      <c r="AX64" s="108"/>
      <c r="AY64" s="108"/>
      <c r="AZ64" s="108"/>
      <c r="BA64" s="108"/>
      <c r="BB64" s="108"/>
      <c r="BC64" s="108"/>
      <c r="BD64" s="110"/>
      <c r="BE64" s="108"/>
      <c r="BF64" s="136"/>
      <c r="BG64" s="108"/>
      <c r="BH64" s="108"/>
      <c r="BI64" s="108"/>
      <c r="BJ64" s="108"/>
      <c r="BK64" s="108"/>
      <c r="BL64" s="108"/>
      <c r="BM64" s="108"/>
      <c r="BN64" s="108"/>
      <c r="BO64" s="108"/>
      <c r="BP64" s="108"/>
      <c r="BQ64" s="108"/>
      <c r="BR64" s="108"/>
    </row>
    <row r="65" spans="1:70" ht="16.5" thickBot="1">
      <c r="A65">
        <v>7</v>
      </c>
      <c r="B65" s="5" t="s">
        <v>77</v>
      </c>
      <c r="C65" s="80">
        <v>38530</v>
      </c>
      <c r="D65" s="244" t="str">
        <f t="shared" si="8"/>
        <v>pen</v>
      </c>
      <c r="E65" s="9" t="str">
        <f>IF(SUM(L37:L40)=12,K37,"Winner F")</f>
        <v>Winner F</v>
      </c>
      <c r="F65" s="78"/>
      <c r="G65" s="78"/>
      <c r="H65" s="165" t="str">
        <f>IF(SUM(L31:L34)=12,K32,"Runner-Up E")</f>
        <v>Runner-Up E</v>
      </c>
      <c r="I65" s="251" t="str">
        <f t="shared" si="6"/>
        <v>pen</v>
      </c>
      <c r="K65" s="54"/>
      <c r="L65" s="4"/>
      <c r="M65" s="4"/>
      <c r="N65" s="4"/>
      <c r="O65" s="4"/>
      <c r="P65" s="4"/>
      <c r="Q65" s="4"/>
      <c r="R65" s="4"/>
      <c r="S65" s="4"/>
      <c r="T65" s="10"/>
      <c r="U65" s="10"/>
      <c r="V65" s="215"/>
      <c r="W65" s="11"/>
      <c r="X65" s="111"/>
      <c r="Y65" s="113"/>
      <c r="Z65" s="32"/>
      <c r="AA65" s="138" t="str">
        <f t="shared" si="7"/>
        <v>draw</v>
      </c>
      <c r="AB65" s="138"/>
      <c r="AC65" s="138" t="str">
        <f>IF(D65&gt;I65,E65,IF(I65&gt;D65,H65,"Winner Match 7"))</f>
        <v>Winner Match 7</v>
      </c>
      <c r="AD65" s="138"/>
      <c r="AE65" s="138"/>
      <c r="AF65" s="138"/>
      <c r="AG65" s="138"/>
      <c r="AH65" s="138"/>
      <c r="AI65" s="138"/>
      <c r="AJ65" s="138"/>
      <c r="AK65" s="138"/>
      <c r="AL65" s="110"/>
      <c r="AM65" s="138"/>
      <c r="AN65" s="139"/>
      <c r="AO65" s="139"/>
      <c r="AP65" s="139"/>
      <c r="AQ65" s="139"/>
      <c r="AR65" s="108"/>
      <c r="AS65" s="110"/>
      <c r="AT65" s="108"/>
      <c r="AU65" s="108"/>
      <c r="AV65" s="108"/>
      <c r="AW65" s="108"/>
      <c r="AX65" s="108"/>
      <c r="AY65" s="108"/>
      <c r="AZ65" s="108"/>
      <c r="BA65" s="108"/>
      <c r="BB65" s="108"/>
      <c r="BC65" s="108"/>
      <c r="BD65" s="110"/>
      <c r="BE65" s="108"/>
      <c r="BF65" s="136"/>
      <c r="BG65" s="108"/>
      <c r="BH65" s="108"/>
      <c r="BI65" s="108"/>
      <c r="BJ65" s="108"/>
      <c r="BK65" s="108"/>
      <c r="BL65" s="108"/>
      <c r="BM65" s="108"/>
      <c r="BN65" s="108"/>
      <c r="BO65" s="108"/>
      <c r="BP65" s="108"/>
      <c r="BQ65" s="108"/>
      <c r="BR65" s="108"/>
    </row>
    <row r="66" spans="1:70" ht="16.5" thickBot="1">
      <c r="A66">
        <v>8</v>
      </c>
      <c r="B66" s="5" t="s">
        <v>77</v>
      </c>
      <c r="C66" s="80">
        <v>38530</v>
      </c>
      <c r="D66" s="244" t="str">
        <f t="shared" si="8"/>
        <v>pen</v>
      </c>
      <c r="E66" s="9" t="str">
        <f>IF(SUM(L49:L52)=12,K49,"Winner H")</f>
        <v>Winner H</v>
      </c>
      <c r="F66" s="78"/>
      <c r="G66" s="78"/>
      <c r="H66" s="165" t="str">
        <f>IF(SUM(L43:L46)=12,K44,"Runner-Up G")</f>
        <v>Runner-Up G</v>
      </c>
      <c r="I66" s="251" t="str">
        <f t="shared" si="6"/>
        <v>pen</v>
      </c>
      <c r="K66" s="54"/>
      <c r="L66" s="4"/>
      <c r="M66" s="4"/>
      <c r="N66" s="4"/>
      <c r="O66" s="4"/>
      <c r="P66" s="4"/>
      <c r="Q66" s="4"/>
      <c r="R66" s="4"/>
      <c r="S66" s="4"/>
      <c r="T66" s="10"/>
      <c r="U66" s="10"/>
      <c r="V66" s="215"/>
      <c r="W66" s="11"/>
      <c r="X66" s="111"/>
      <c r="Y66" s="113"/>
      <c r="Z66" s="32"/>
      <c r="AA66" s="138" t="str">
        <f t="shared" si="7"/>
        <v>draw</v>
      </c>
      <c r="AB66" s="138"/>
      <c r="AC66" s="138" t="str">
        <f>IF(D66&gt;I66,E66,IF(I66&gt;D66,H66,"Winner Match 8"))</f>
        <v>Winner Match 8</v>
      </c>
      <c r="AD66" s="138"/>
      <c r="AE66" s="138"/>
      <c r="AF66" s="138"/>
      <c r="AG66" s="138"/>
      <c r="AH66" s="138"/>
      <c r="AI66" s="138"/>
      <c r="AJ66" s="138"/>
      <c r="AK66" s="138"/>
      <c r="AL66" s="110"/>
      <c r="AM66" s="138"/>
      <c r="AN66" s="139"/>
      <c r="AO66" s="139"/>
      <c r="AP66" s="139"/>
      <c r="AQ66" s="139"/>
      <c r="AR66" s="108"/>
      <c r="AS66" s="110"/>
      <c r="AT66" s="108"/>
      <c r="AU66" s="108"/>
      <c r="AV66" s="108"/>
      <c r="AW66" s="108"/>
      <c r="AX66" s="108"/>
      <c r="AY66" s="108"/>
      <c r="AZ66" s="108"/>
      <c r="BA66" s="108"/>
      <c r="BB66" s="108"/>
      <c r="BC66" s="108"/>
      <c r="BD66" s="110"/>
      <c r="BE66" s="108"/>
      <c r="BF66" s="136"/>
      <c r="BG66" s="108"/>
      <c r="BH66" s="108"/>
      <c r="BI66" s="108"/>
      <c r="BJ66" s="108"/>
      <c r="BK66" s="108"/>
      <c r="BL66" s="108"/>
      <c r="BM66" s="108"/>
      <c r="BN66" s="108"/>
      <c r="BO66" s="108"/>
      <c r="BP66" s="108"/>
      <c r="BQ66" s="108"/>
      <c r="BR66" s="108"/>
    </row>
    <row r="67" spans="2:70" ht="18.75">
      <c r="B67" s="5"/>
      <c r="C67" s="80"/>
      <c r="D67" s="245"/>
      <c r="E67" s="39"/>
      <c r="F67" s="83"/>
      <c r="G67" s="83"/>
      <c r="I67" s="252"/>
      <c r="K67" s="54"/>
      <c r="L67" s="4"/>
      <c r="M67" s="4"/>
      <c r="N67" s="4"/>
      <c r="O67" s="4"/>
      <c r="P67" s="4"/>
      <c r="Q67" s="4"/>
      <c r="R67" s="4"/>
      <c r="S67" s="4"/>
      <c r="T67" s="10"/>
      <c r="U67" s="10"/>
      <c r="V67" s="215"/>
      <c r="W67" s="11"/>
      <c r="X67" s="111"/>
      <c r="Y67" s="113"/>
      <c r="Z67" s="32"/>
      <c r="AA67" s="110"/>
      <c r="AB67" s="138"/>
      <c r="AC67" s="138"/>
      <c r="AD67" s="138"/>
      <c r="AE67" s="138"/>
      <c r="AF67" s="138"/>
      <c r="AG67" s="138"/>
      <c r="AH67" s="138"/>
      <c r="AI67" s="138"/>
      <c r="AJ67" s="138"/>
      <c r="AK67" s="138"/>
      <c r="AL67" s="110"/>
      <c r="AM67" s="138"/>
      <c r="AN67" s="139"/>
      <c r="AO67" s="139"/>
      <c r="AP67" s="139"/>
      <c r="AQ67" s="139"/>
      <c r="AR67" s="108"/>
      <c r="AS67" s="110"/>
      <c r="AT67" s="108"/>
      <c r="AU67" s="108"/>
      <c r="AV67" s="108"/>
      <c r="AW67" s="108"/>
      <c r="AX67" s="108"/>
      <c r="AY67" s="108"/>
      <c r="AZ67" s="108"/>
      <c r="BA67" s="108"/>
      <c r="BB67" s="108"/>
      <c r="BC67" s="108"/>
      <c r="BD67" s="110"/>
      <c r="BE67" s="108"/>
      <c r="BF67" s="136"/>
      <c r="BG67" s="108"/>
      <c r="BH67" s="108"/>
      <c r="BI67" s="108"/>
      <c r="BJ67" s="108"/>
      <c r="BK67" s="108"/>
      <c r="BL67" s="108"/>
      <c r="BM67" s="108"/>
      <c r="BN67" s="108"/>
      <c r="BO67" s="108"/>
      <c r="BP67" s="108"/>
      <c r="BQ67" s="108"/>
      <c r="BR67" s="108"/>
    </row>
    <row r="68" spans="2:70" ht="18.75">
      <c r="B68" s="5"/>
      <c r="C68" s="80"/>
      <c r="D68" s="245"/>
      <c r="E68" s="39"/>
      <c r="F68" s="83"/>
      <c r="G68" s="83"/>
      <c r="I68" s="252"/>
      <c r="K68" s="54"/>
      <c r="L68" s="4"/>
      <c r="M68" s="4"/>
      <c r="N68" s="4"/>
      <c r="O68" s="4"/>
      <c r="P68" s="4"/>
      <c r="Q68" s="4"/>
      <c r="R68" s="4"/>
      <c r="S68" s="4"/>
      <c r="T68" s="10"/>
      <c r="U68" s="10"/>
      <c r="V68" s="215"/>
      <c r="W68" s="11"/>
      <c r="X68" s="111"/>
      <c r="Y68" s="113"/>
      <c r="Z68" s="32"/>
      <c r="AA68" s="110"/>
      <c r="AB68" s="138"/>
      <c r="AC68" s="138"/>
      <c r="AD68" s="138"/>
      <c r="AE68" s="138"/>
      <c r="AF68" s="138"/>
      <c r="AG68" s="138"/>
      <c r="AH68" s="138"/>
      <c r="AI68" s="138"/>
      <c r="AJ68" s="138"/>
      <c r="AK68" s="138"/>
      <c r="AL68" s="110"/>
      <c r="AM68" s="138"/>
      <c r="AN68" s="139"/>
      <c r="AO68" s="139"/>
      <c r="AP68" s="139"/>
      <c r="AQ68" s="139"/>
      <c r="AR68" s="108"/>
      <c r="AS68" s="110"/>
      <c r="AT68" s="108"/>
      <c r="AU68" s="108"/>
      <c r="AV68" s="108"/>
      <c r="AW68" s="108"/>
      <c r="AX68" s="108"/>
      <c r="AY68" s="108"/>
      <c r="AZ68" s="108"/>
      <c r="BA68" s="108"/>
      <c r="BB68" s="108"/>
      <c r="BC68" s="108"/>
      <c r="BD68" s="110"/>
      <c r="BE68" s="108"/>
      <c r="BF68" s="136"/>
      <c r="BG68" s="108"/>
      <c r="BH68" s="108"/>
      <c r="BI68" s="108"/>
      <c r="BJ68" s="108"/>
      <c r="BK68" s="108"/>
      <c r="BL68" s="108"/>
      <c r="BM68" s="108"/>
      <c r="BN68" s="108"/>
      <c r="BO68" s="108"/>
      <c r="BP68" s="108"/>
      <c r="BQ68" s="108"/>
      <c r="BR68" s="108"/>
    </row>
    <row r="69" spans="2:70" ht="18.75">
      <c r="B69" s="100" t="s">
        <v>33</v>
      </c>
      <c r="C69" s="101"/>
      <c r="D69" s="246"/>
      <c r="E69" s="182"/>
      <c r="F69" s="238"/>
      <c r="G69" s="238"/>
      <c r="H69" s="179"/>
      <c r="I69" s="253"/>
      <c r="K69" s="54"/>
      <c r="L69" s="4"/>
      <c r="M69" s="4"/>
      <c r="N69" s="4"/>
      <c r="O69" s="4"/>
      <c r="P69" s="4"/>
      <c r="Q69" s="4"/>
      <c r="R69" s="4"/>
      <c r="S69" s="4"/>
      <c r="T69" s="10"/>
      <c r="U69" s="10"/>
      <c r="V69" s="7"/>
      <c r="W69" s="11"/>
      <c r="X69" s="111"/>
      <c r="Y69" s="113"/>
      <c r="Z69" s="32"/>
      <c r="AA69" s="110"/>
      <c r="AB69" s="138"/>
      <c r="AC69" s="138"/>
      <c r="AD69" s="138"/>
      <c r="AE69" s="138"/>
      <c r="AF69" s="138"/>
      <c r="AG69" s="138"/>
      <c r="AH69" s="138"/>
      <c r="AI69" s="138"/>
      <c r="AJ69" s="138"/>
      <c r="AK69" s="138"/>
      <c r="AL69" s="110"/>
      <c r="AM69" s="138"/>
      <c r="AN69" s="139"/>
      <c r="AO69" s="139"/>
      <c r="AP69" s="139"/>
      <c r="AQ69" s="139"/>
      <c r="AR69" s="108"/>
      <c r="AS69" s="110"/>
      <c r="AT69" s="108"/>
      <c r="AU69" s="108"/>
      <c r="AV69" s="108"/>
      <c r="AW69" s="108"/>
      <c r="AX69" s="108"/>
      <c r="AY69" s="108"/>
      <c r="AZ69" s="108"/>
      <c r="BA69" s="108"/>
      <c r="BB69" s="108"/>
      <c r="BC69" s="108"/>
      <c r="BD69" s="110"/>
      <c r="BE69" s="108"/>
      <c r="BF69" s="136"/>
      <c r="BG69" s="108"/>
      <c r="BH69" s="108"/>
      <c r="BI69" s="108"/>
      <c r="BJ69" s="108"/>
      <c r="BK69" s="108"/>
      <c r="BL69" s="108"/>
      <c r="BM69" s="108"/>
      <c r="BN69" s="108"/>
      <c r="BO69" s="108"/>
      <c r="BP69" s="108"/>
      <c r="BQ69" s="108"/>
      <c r="BR69" s="108"/>
    </row>
    <row r="70" spans="2:70" ht="13.5">
      <c r="B70" s="127"/>
      <c r="C70" s="194" t="s">
        <v>5</v>
      </c>
      <c r="D70" s="239"/>
      <c r="E70" s="200"/>
      <c r="F70" s="239"/>
      <c r="G70" s="239"/>
      <c r="H70" s="201"/>
      <c r="I70" s="260"/>
      <c r="J70" s="37"/>
      <c r="K70" s="54"/>
      <c r="L70" s="4"/>
      <c r="M70" s="4"/>
      <c r="N70" s="4"/>
      <c r="O70" s="4"/>
      <c r="P70" s="4"/>
      <c r="Q70" s="4"/>
      <c r="R70" s="4"/>
      <c r="S70" s="4"/>
      <c r="T70" s="10"/>
      <c r="U70" s="10"/>
      <c r="V70" s="7"/>
      <c r="W70" s="11"/>
      <c r="X70" s="111"/>
      <c r="Y70" s="113"/>
      <c r="Z70" s="32"/>
      <c r="AB70" s="138"/>
      <c r="AC70" s="138"/>
      <c r="AD70" s="138"/>
      <c r="AE70" s="138"/>
      <c r="AF70" s="138"/>
      <c r="AG70" s="138"/>
      <c r="AH70" s="138"/>
      <c r="AI70" s="138"/>
      <c r="AJ70" s="138"/>
      <c r="AK70" s="138"/>
      <c r="AL70" s="110"/>
      <c r="AM70" s="138"/>
      <c r="AN70" s="145"/>
      <c r="AO70" s="108"/>
      <c r="AP70" s="108"/>
      <c r="AQ70" s="108"/>
      <c r="AR70" s="108"/>
      <c r="AS70" s="110"/>
      <c r="AT70" s="108"/>
      <c r="AU70" s="108"/>
      <c r="AV70" s="108"/>
      <c r="AW70" s="108"/>
      <c r="AX70" s="108"/>
      <c r="AY70" s="108"/>
      <c r="AZ70" s="108"/>
      <c r="BA70" s="108"/>
      <c r="BB70" s="108"/>
      <c r="BC70" s="108"/>
      <c r="BD70" s="110"/>
      <c r="BE70" s="108"/>
      <c r="BF70" s="136"/>
      <c r="BG70" s="108"/>
      <c r="BH70" s="108"/>
      <c r="BI70" s="108"/>
      <c r="BJ70" s="108"/>
      <c r="BK70" s="108"/>
      <c r="BL70" s="108"/>
      <c r="BM70" s="108"/>
      <c r="BN70" s="108"/>
      <c r="BO70" s="108"/>
      <c r="BP70" s="108"/>
      <c r="BQ70" s="108"/>
      <c r="BR70" s="108"/>
    </row>
    <row r="71" spans="2:70" ht="14.25" thickBot="1">
      <c r="B71" s="51"/>
      <c r="C71" s="57"/>
      <c r="D71" s="247"/>
      <c r="E71" s="25"/>
      <c r="F71" s="235"/>
      <c r="G71" s="236"/>
      <c r="H71" s="165"/>
      <c r="I71" s="255"/>
      <c r="J71" s="20"/>
      <c r="K71" s="54"/>
      <c r="L71" s="4"/>
      <c r="M71" s="4"/>
      <c r="N71" s="4"/>
      <c r="O71" s="4"/>
      <c r="P71" s="4"/>
      <c r="Q71" s="4"/>
      <c r="R71" s="4"/>
      <c r="S71" s="4"/>
      <c r="T71" s="10"/>
      <c r="U71" s="10"/>
      <c r="V71" s="7"/>
      <c r="W71" s="11"/>
      <c r="X71" s="111"/>
      <c r="Y71" s="113"/>
      <c r="Z71" s="32"/>
      <c r="AA71" s="18" t="s">
        <v>86</v>
      </c>
      <c r="AB71" s="138"/>
      <c r="AC71" s="18" t="s">
        <v>37</v>
      </c>
      <c r="AD71" s="138"/>
      <c r="AE71" s="138"/>
      <c r="AF71" s="138"/>
      <c r="AG71" s="138"/>
      <c r="AH71" s="138"/>
      <c r="AI71" s="138"/>
      <c r="AJ71" s="138"/>
      <c r="AK71" s="138"/>
      <c r="AL71" s="110"/>
      <c r="AM71" s="138"/>
      <c r="AN71" s="145"/>
      <c r="AO71" s="108"/>
      <c r="AP71" s="108"/>
      <c r="AQ71" s="108"/>
      <c r="AR71" s="108"/>
      <c r="AS71" s="110"/>
      <c r="AT71" s="108"/>
      <c r="AU71" s="108"/>
      <c r="AV71" s="108"/>
      <c r="AW71" s="108"/>
      <c r="AX71" s="108"/>
      <c r="AY71" s="108"/>
      <c r="AZ71" s="108"/>
      <c r="BA71" s="108"/>
      <c r="BB71" s="108"/>
      <c r="BC71" s="108"/>
      <c r="BD71" s="110"/>
      <c r="BE71" s="108"/>
      <c r="BF71" s="136"/>
      <c r="BG71" s="108"/>
      <c r="BH71" s="108"/>
      <c r="BI71" s="108"/>
      <c r="BJ71" s="108"/>
      <c r="BK71" s="108"/>
      <c r="BL71" s="108"/>
      <c r="BM71" s="108"/>
      <c r="BN71" s="108"/>
      <c r="BO71" s="108"/>
      <c r="BP71" s="108"/>
      <c r="BQ71" s="108"/>
      <c r="BR71" s="108"/>
    </row>
    <row r="72" spans="1:70" ht="14.25" thickBot="1">
      <c r="A72" t="s">
        <v>12</v>
      </c>
      <c r="B72" s="80" t="s">
        <v>73</v>
      </c>
      <c r="C72" s="177">
        <v>38533</v>
      </c>
      <c r="D72" s="244" t="str">
        <f>IF((F72=G72),"pen","")</f>
        <v>pen</v>
      </c>
      <c r="E72" s="25" t="str">
        <f>IF(AA59&lt;&gt;"draw",AA59,AC59)</f>
        <v>Winner Match 1</v>
      </c>
      <c r="F72" s="231"/>
      <c r="G72" s="231"/>
      <c r="H72" s="10" t="str">
        <f>IF(AA60&lt;&gt;"draw",AA60,AC60)</f>
        <v>Winner Match 2</v>
      </c>
      <c r="I72" s="256" t="str">
        <f>IF((F72=G72),"pen","")</f>
        <v>pen</v>
      </c>
      <c r="J72" s="19"/>
      <c r="K72" s="54"/>
      <c r="L72" s="4"/>
      <c r="M72" s="4"/>
      <c r="N72" s="4"/>
      <c r="O72" s="4"/>
      <c r="P72" s="4"/>
      <c r="Q72" s="4"/>
      <c r="R72" s="4"/>
      <c r="S72" s="4"/>
      <c r="T72" s="10"/>
      <c r="U72" s="10"/>
      <c r="V72" s="8"/>
      <c r="W72" s="41"/>
      <c r="X72" s="142"/>
      <c r="Y72" s="113"/>
      <c r="Z72" s="32"/>
      <c r="AA72" s="138" t="str">
        <f>IF(F72&gt;G72,E72,IF(G72&gt;F72,H72,"draw"))</f>
        <v>draw</v>
      </c>
      <c r="AB72" s="138"/>
      <c r="AC72" s="138" t="str">
        <f>IF(D72&gt;I72,E72,IF(I72&gt;D72,H72,"Winner QF A"))</f>
        <v>Winner QF A</v>
      </c>
      <c r="AD72" s="138"/>
      <c r="AE72" s="138"/>
      <c r="AF72" s="138"/>
      <c r="AH72" s="138"/>
      <c r="AI72" s="138"/>
      <c r="AJ72" s="138"/>
      <c r="AK72" s="138"/>
      <c r="AL72" s="110"/>
      <c r="AM72" s="138"/>
      <c r="AN72" s="145"/>
      <c r="AO72" s="108"/>
      <c r="AP72" s="108"/>
      <c r="AQ72" s="108"/>
      <c r="AR72" s="143"/>
      <c r="AS72" s="110"/>
      <c r="AT72" s="108"/>
      <c r="AU72" s="108"/>
      <c r="AV72" s="108"/>
      <c r="AW72" s="108"/>
      <c r="AX72" s="108"/>
      <c r="AY72" s="108"/>
      <c r="AZ72" s="108"/>
      <c r="BA72" s="108"/>
      <c r="BB72" s="108"/>
      <c r="BC72" s="108"/>
      <c r="BD72" s="110"/>
      <c r="BE72" s="108"/>
      <c r="BF72" s="136"/>
      <c r="BG72" s="108"/>
      <c r="BH72" s="108"/>
      <c r="BI72" s="108"/>
      <c r="BJ72" s="108"/>
      <c r="BK72" s="108"/>
      <c r="BL72" s="108"/>
      <c r="BM72" s="108"/>
      <c r="BN72" s="108"/>
      <c r="BO72" s="108"/>
      <c r="BP72" s="108"/>
      <c r="BQ72" s="108"/>
      <c r="BR72" s="108"/>
    </row>
    <row r="73" spans="1:70" ht="14.25" thickBot="1">
      <c r="A73" t="s">
        <v>88</v>
      </c>
      <c r="B73" s="80" t="s">
        <v>73</v>
      </c>
      <c r="C73" s="177">
        <v>38533</v>
      </c>
      <c r="D73" s="244" t="str">
        <f>IF((F73=G73),"pen","")</f>
        <v>pen</v>
      </c>
      <c r="E73" s="25" t="str">
        <f>IF(AA63&lt;&gt;"draw",AA63,AC63)</f>
        <v>Winner Match 5</v>
      </c>
      <c r="F73" s="231"/>
      <c r="G73" s="231"/>
      <c r="H73" s="10" t="str">
        <f>IF(AA64&lt;&gt;"draw",AA64,AC64)</f>
        <v>Winner Match 6</v>
      </c>
      <c r="I73" s="256" t="str">
        <f>IF((F73=G73),"pen","")</f>
        <v>pen</v>
      </c>
      <c r="K73" s="5"/>
      <c r="L73" s="4"/>
      <c r="M73" s="4"/>
      <c r="N73" s="4"/>
      <c r="O73" s="4"/>
      <c r="P73" s="4"/>
      <c r="Q73" s="4"/>
      <c r="R73" s="4"/>
      <c r="S73" s="4"/>
      <c r="T73" s="6"/>
      <c r="U73" s="6"/>
      <c r="V73" s="220"/>
      <c r="W73" s="11"/>
      <c r="X73" s="111"/>
      <c r="Y73" s="113"/>
      <c r="Z73" s="32"/>
      <c r="AA73" s="138" t="str">
        <f>IF(F73&gt;G73,E73,IF(G73&gt;F73,H73,"draw"))</f>
        <v>draw</v>
      </c>
      <c r="AB73" s="138"/>
      <c r="AC73" s="138" t="str">
        <f>IF(D73&gt;I73,E73,IF(I73&gt;D73,H73,"Winner QF B"))</f>
        <v>Winner QF B</v>
      </c>
      <c r="AD73" s="138"/>
      <c r="AE73" s="138"/>
      <c r="AF73" s="138"/>
      <c r="AH73" s="138"/>
      <c r="AI73" s="138"/>
      <c r="AJ73" s="138"/>
      <c r="AK73" s="138"/>
      <c r="AL73" s="110"/>
      <c r="AM73" s="138"/>
      <c r="AN73" s="145"/>
      <c r="AO73" s="108"/>
      <c r="AP73" s="108"/>
      <c r="AQ73" s="108"/>
      <c r="AR73" s="108"/>
      <c r="AS73" s="108"/>
      <c r="AT73" s="108"/>
      <c r="AU73" s="108"/>
      <c r="AV73" s="108"/>
      <c r="AW73" s="108"/>
      <c r="AX73" s="108"/>
      <c r="AY73" s="108"/>
      <c r="AZ73" s="108"/>
      <c r="BA73" s="108"/>
      <c r="BB73" s="108"/>
      <c r="BC73" s="108"/>
      <c r="BD73" s="110"/>
      <c r="BE73" s="108"/>
      <c r="BF73" s="136"/>
      <c r="BG73" s="108"/>
      <c r="BH73" s="108"/>
      <c r="BI73" s="108"/>
      <c r="BJ73" s="108"/>
      <c r="BK73" s="108"/>
      <c r="BL73" s="108"/>
      <c r="BM73" s="108"/>
      <c r="BN73" s="108"/>
      <c r="BO73" s="108"/>
      <c r="BP73" s="108"/>
      <c r="BQ73" s="108"/>
      <c r="BR73" s="108"/>
    </row>
    <row r="74" spans="1:70" ht="14.25" thickBot="1">
      <c r="A74" t="s">
        <v>89</v>
      </c>
      <c r="B74" s="80" t="s">
        <v>74</v>
      </c>
      <c r="C74" s="177">
        <v>38534</v>
      </c>
      <c r="D74" s="244" t="str">
        <f>IF((F74=G74),"pen","")</f>
        <v>pen</v>
      </c>
      <c r="E74" s="25" t="str">
        <f>IF(AA61&lt;&gt;"draw",AA61,AC61)</f>
        <v>Winner Match 3</v>
      </c>
      <c r="F74" s="231"/>
      <c r="G74" s="231"/>
      <c r="H74" s="10" t="str">
        <f>IF(AA62&lt;&gt;"draw",AA62,AC62)</f>
        <v>Winner Match 4</v>
      </c>
      <c r="I74" s="251" t="str">
        <f>IF((F74=G74),"pen","")</f>
        <v>pen</v>
      </c>
      <c r="K74" s="52"/>
      <c r="L74" s="53"/>
      <c r="M74" s="53"/>
      <c r="N74" s="53"/>
      <c r="O74" s="53"/>
      <c r="P74" s="53"/>
      <c r="Q74" s="53"/>
      <c r="R74" s="53"/>
      <c r="S74" s="53"/>
      <c r="T74" s="10"/>
      <c r="U74" s="10"/>
      <c r="V74" s="8"/>
      <c r="W74" s="11"/>
      <c r="X74" s="111"/>
      <c r="Y74" s="113"/>
      <c r="Z74" s="32"/>
      <c r="AA74" s="138" t="str">
        <f>IF(F74&gt;G74,E74,IF(G74&gt;F74,H74,"draw"))</f>
        <v>draw</v>
      </c>
      <c r="AB74" s="138"/>
      <c r="AC74" s="138" t="str">
        <f>IF(D74&gt;I74,E74,IF(I74&gt;D74,H74,"Winner QF C"))</f>
        <v>Winner QF C</v>
      </c>
      <c r="AD74" s="138"/>
      <c r="AE74" s="138"/>
      <c r="AF74" s="138"/>
      <c r="AH74" s="138"/>
      <c r="AI74" s="138"/>
      <c r="AJ74" s="138"/>
      <c r="AK74" s="138"/>
      <c r="AL74" s="110"/>
      <c r="AM74" s="138"/>
      <c r="AN74" s="145"/>
      <c r="AO74" s="108"/>
      <c r="AP74" s="108"/>
      <c r="AQ74" s="108"/>
      <c r="AR74" s="108"/>
      <c r="AS74" s="110"/>
      <c r="AT74" s="108"/>
      <c r="AU74" s="108"/>
      <c r="AV74" s="108"/>
      <c r="AW74" s="108"/>
      <c r="AX74" s="108"/>
      <c r="AY74" s="108"/>
      <c r="AZ74" s="108"/>
      <c r="BA74" s="108"/>
      <c r="BB74" s="108"/>
      <c r="BC74" s="108"/>
      <c r="BD74" s="110"/>
      <c r="BE74" s="108"/>
      <c r="BF74" s="141"/>
      <c r="BG74" s="110"/>
      <c r="BH74" s="110"/>
      <c r="BI74" s="110"/>
      <c r="BJ74" s="110"/>
      <c r="BK74" s="110"/>
      <c r="BL74" s="110"/>
      <c r="BM74" s="110"/>
      <c r="BN74" s="110"/>
      <c r="BO74" s="110"/>
      <c r="BP74" s="110"/>
      <c r="BQ74" s="108"/>
      <c r="BR74" s="110"/>
    </row>
    <row r="75" spans="1:70" ht="14.25" thickBot="1">
      <c r="A75" t="s">
        <v>9</v>
      </c>
      <c r="B75" s="80" t="s">
        <v>74</v>
      </c>
      <c r="C75" s="177">
        <v>38534</v>
      </c>
      <c r="D75" s="244" t="str">
        <f>IF((F75=G75),"pen","")</f>
        <v>pen</v>
      </c>
      <c r="E75" s="25" t="str">
        <f>IF(AA65&lt;&gt;"draw",AA65,AC65)</f>
        <v>Winner Match 7</v>
      </c>
      <c r="F75" s="231"/>
      <c r="G75" s="231"/>
      <c r="H75" s="10" t="str">
        <f>IF(AA66&lt;&gt;"draw",AA66,AC66)</f>
        <v>Winner Match 8</v>
      </c>
      <c r="I75" s="256" t="str">
        <f>IF((F75=G75),"pen","")</f>
        <v>pen</v>
      </c>
      <c r="K75" s="54"/>
      <c r="L75" s="4"/>
      <c r="M75" s="4"/>
      <c r="N75" s="4"/>
      <c r="O75" s="4"/>
      <c r="P75" s="4"/>
      <c r="Q75" s="4"/>
      <c r="R75" s="4"/>
      <c r="S75" s="4"/>
      <c r="T75" s="10"/>
      <c r="U75" s="10"/>
      <c r="V75" s="5"/>
      <c r="W75" s="11"/>
      <c r="X75" s="111"/>
      <c r="Y75" s="113"/>
      <c r="Z75" s="32"/>
      <c r="AA75" s="138" t="str">
        <f>IF(F75&gt;G75,E75,IF(G75&gt;F75,H75,"draw"))</f>
        <v>draw</v>
      </c>
      <c r="AB75" s="138"/>
      <c r="AC75" s="138" t="str">
        <f>IF(D75&gt;I75,E75,IF(I75&gt;D75,H75,"Winner QF D"))</f>
        <v>Winner QF D</v>
      </c>
      <c r="AD75" s="138"/>
      <c r="AE75" s="138"/>
      <c r="AF75" s="138"/>
      <c r="AH75" s="138"/>
      <c r="AI75" s="138"/>
      <c r="AJ75" s="138"/>
      <c r="AK75" s="138"/>
      <c r="AL75" s="110"/>
      <c r="AM75" s="138"/>
      <c r="AN75" s="108"/>
      <c r="AO75" s="108"/>
      <c r="AP75" s="110"/>
      <c r="AQ75" s="110"/>
      <c r="AR75" s="108"/>
      <c r="AS75" s="110"/>
      <c r="AT75" s="108"/>
      <c r="AU75" s="108"/>
      <c r="AV75" s="108"/>
      <c r="AW75" s="108"/>
      <c r="AX75" s="108"/>
      <c r="AY75" s="108"/>
      <c r="AZ75" s="108"/>
      <c r="BA75" s="108"/>
      <c r="BB75" s="108"/>
      <c r="BC75" s="108"/>
      <c r="BD75" s="110"/>
      <c r="BE75" s="108"/>
      <c r="BF75" s="141"/>
      <c r="BG75" s="110"/>
      <c r="BH75" s="110"/>
      <c r="BI75" s="110"/>
      <c r="BJ75" s="110"/>
      <c r="BK75" s="110"/>
      <c r="BL75" s="110"/>
      <c r="BM75" s="110"/>
      <c r="BN75" s="110"/>
      <c r="BO75" s="110"/>
      <c r="BP75" s="110"/>
      <c r="BQ75" s="108"/>
      <c r="BR75" s="110"/>
    </row>
    <row r="76" spans="2:70" ht="13.5">
      <c r="B76" s="4"/>
      <c r="C76" s="56"/>
      <c r="D76" s="248"/>
      <c r="E76" s="9"/>
      <c r="F76" s="232"/>
      <c r="G76" s="232"/>
      <c r="H76" s="167"/>
      <c r="I76" s="257"/>
      <c r="K76" s="54"/>
      <c r="L76" s="4"/>
      <c r="M76" s="4"/>
      <c r="N76" s="4"/>
      <c r="O76" s="4"/>
      <c r="P76" s="4"/>
      <c r="Q76" s="4"/>
      <c r="R76" s="4"/>
      <c r="S76" s="4"/>
      <c r="T76" s="10"/>
      <c r="U76" s="10"/>
      <c r="W76" s="41"/>
      <c r="X76" s="142"/>
      <c r="Y76" s="113"/>
      <c r="Z76" s="32"/>
      <c r="AA76" s="138"/>
      <c r="AB76" s="138"/>
      <c r="AC76" s="138"/>
      <c r="AD76" s="138"/>
      <c r="AE76" s="138"/>
      <c r="AF76" s="138"/>
      <c r="AH76" s="138"/>
      <c r="AI76" s="138"/>
      <c r="AJ76" s="138"/>
      <c r="AK76" s="138"/>
      <c r="AL76" s="110"/>
      <c r="AM76" s="138"/>
      <c r="AN76" s="108"/>
      <c r="AO76" s="108"/>
      <c r="AP76" s="110"/>
      <c r="AQ76" s="110"/>
      <c r="AR76" s="108"/>
      <c r="AS76" s="110"/>
      <c r="AT76" s="108"/>
      <c r="AU76" s="108"/>
      <c r="AV76" s="108"/>
      <c r="AW76" s="108"/>
      <c r="AX76" s="108"/>
      <c r="AY76" s="108"/>
      <c r="AZ76" s="108"/>
      <c r="BA76" s="108"/>
      <c r="BB76" s="108"/>
      <c r="BC76" s="108"/>
      <c r="BD76" s="110"/>
      <c r="BE76" s="108"/>
      <c r="BF76" s="141"/>
      <c r="BG76" s="110"/>
      <c r="BH76" s="110"/>
      <c r="BI76" s="110"/>
      <c r="BJ76" s="110"/>
      <c r="BK76" s="110"/>
      <c r="BL76" s="110"/>
      <c r="BM76" s="110"/>
      <c r="BN76" s="110"/>
      <c r="BO76" s="110"/>
      <c r="BP76" s="110"/>
      <c r="BQ76" s="108"/>
      <c r="BR76" s="110"/>
    </row>
    <row r="77" spans="2:70" ht="13.5">
      <c r="B77" s="4"/>
      <c r="C77" s="56"/>
      <c r="D77" s="248"/>
      <c r="E77" s="9"/>
      <c r="F77" s="232"/>
      <c r="G77" s="232"/>
      <c r="H77" s="167"/>
      <c r="I77" s="258"/>
      <c r="K77" s="54"/>
      <c r="L77" s="4"/>
      <c r="M77" s="4"/>
      <c r="N77" s="4"/>
      <c r="O77" s="4"/>
      <c r="P77" s="4"/>
      <c r="Q77" s="4"/>
      <c r="R77" s="4"/>
      <c r="S77" s="4"/>
      <c r="T77" s="10"/>
      <c r="U77" s="10"/>
      <c r="V77" s="215"/>
      <c r="W77" s="11"/>
      <c r="X77" s="111"/>
      <c r="Y77" s="113"/>
      <c r="Z77" s="32"/>
      <c r="AB77" s="138"/>
      <c r="AD77" s="138"/>
      <c r="AE77" s="138"/>
      <c r="AF77" s="138"/>
      <c r="AH77" s="138"/>
      <c r="AI77" s="138"/>
      <c r="AJ77" s="138"/>
      <c r="AK77" s="138"/>
      <c r="AL77" s="110"/>
      <c r="AM77" s="138"/>
      <c r="AN77" s="108"/>
      <c r="AO77" s="108"/>
      <c r="AP77" s="110"/>
      <c r="AQ77" s="110"/>
      <c r="AR77" s="108"/>
      <c r="AS77" s="110"/>
      <c r="AT77" s="108"/>
      <c r="AU77" s="108"/>
      <c r="AV77" s="108"/>
      <c r="AW77" s="108"/>
      <c r="AX77" s="108"/>
      <c r="AY77" s="108"/>
      <c r="AZ77" s="108"/>
      <c r="BA77" s="108"/>
      <c r="BB77" s="108"/>
      <c r="BC77" s="108"/>
      <c r="BD77" s="110"/>
      <c r="BE77" s="108"/>
      <c r="BF77" s="141"/>
      <c r="BG77" s="110"/>
      <c r="BH77" s="110"/>
      <c r="BI77" s="110"/>
      <c r="BJ77" s="110"/>
      <c r="BK77" s="110"/>
      <c r="BL77" s="110"/>
      <c r="BM77" s="110"/>
      <c r="BN77" s="110"/>
      <c r="BO77" s="110"/>
      <c r="BP77" s="110"/>
      <c r="BQ77" s="108"/>
      <c r="BR77" s="110"/>
    </row>
    <row r="78" spans="2:70" ht="18.75">
      <c r="B78" s="100" t="s">
        <v>34</v>
      </c>
      <c r="C78" s="100"/>
      <c r="D78" s="246"/>
      <c r="E78" s="182"/>
      <c r="F78" s="233"/>
      <c r="G78" s="233"/>
      <c r="H78" s="181"/>
      <c r="I78" s="252"/>
      <c r="J78" s="58"/>
      <c r="K78" s="54"/>
      <c r="L78" s="4"/>
      <c r="M78" s="4"/>
      <c r="N78" s="4"/>
      <c r="O78" s="4"/>
      <c r="P78" s="4"/>
      <c r="Q78" s="4"/>
      <c r="R78" s="4"/>
      <c r="S78" s="4"/>
      <c r="T78" s="10"/>
      <c r="U78" s="10"/>
      <c r="V78" s="220"/>
      <c r="W78" s="11"/>
      <c r="X78" s="111"/>
      <c r="Y78" s="113"/>
      <c r="Z78" s="32"/>
      <c r="AB78" s="138"/>
      <c r="AD78" s="138"/>
      <c r="AE78" s="138"/>
      <c r="AF78" s="138"/>
      <c r="AH78" s="138"/>
      <c r="AI78" s="138"/>
      <c r="AJ78" s="138"/>
      <c r="AK78" s="138"/>
      <c r="AL78" s="110"/>
      <c r="AM78" s="138"/>
      <c r="AN78" s="108"/>
      <c r="AO78" s="108"/>
      <c r="AP78" s="110"/>
      <c r="AQ78" s="110"/>
      <c r="AR78" s="108"/>
      <c r="AS78" s="110"/>
      <c r="AT78" s="108"/>
      <c r="AU78" s="108"/>
      <c r="AV78" s="108"/>
      <c r="AW78" s="143"/>
      <c r="AX78" s="143"/>
      <c r="AY78" s="143"/>
      <c r="AZ78" s="108"/>
      <c r="BA78" s="108"/>
      <c r="BB78" s="108"/>
      <c r="BC78" s="108"/>
      <c r="BD78" s="110"/>
      <c r="BE78" s="108"/>
      <c r="BF78" s="136"/>
      <c r="BG78" s="108"/>
      <c r="BH78" s="108"/>
      <c r="BI78" s="108"/>
      <c r="BJ78" s="108"/>
      <c r="BK78" s="108"/>
      <c r="BL78" s="108"/>
      <c r="BM78" s="108"/>
      <c r="BN78" s="108"/>
      <c r="BO78" s="108"/>
      <c r="BP78" s="108"/>
      <c r="BQ78" s="108"/>
      <c r="BR78" s="108"/>
    </row>
    <row r="79" spans="2:70" ht="13.5">
      <c r="B79" s="127"/>
      <c r="C79" s="194" t="s">
        <v>5</v>
      </c>
      <c r="D79" s="239"/>
      <c r="E79" s="200"/>
      <c r="F79" s="239"/>
      <c r="G79" s="239"/>
      <c r="H79" s="201"/>
      <c r="I79" s="260"/>
      <c r="J79" s="58"/>
      <c r="K79" s="54"/>
      <c r="L79" s="4"/>
      <c r="M79" s="4"/>
      <c r="N79" s="4"/>
      <c r="O79" s="4"/>
      <c r="P79" s="4"/>
      <c r="Q79" s="4"/>
      <c r="R79" s="4"/>
      <c r="S79" s="4"/>
      <c r="T79" s="10"/>
      <c r="U79" s="10"/>
      <c r="W79" s="11"/>
      <c r="X79" s="111"/>
      <c r="Y79" s="113"/>
      <c r="Z79" s="32"/>
      <c r="AA79" s="138"/>
      <c r="AB79" s="138"/>
      <c r="AD79" s="138"/>
      <c r="AE79" s="138"/>
      <c r="AF79" s="138"/>
      <c r="AH79" s="138"/>
      <c r="AI79" s="138"/>
      <c r="AJ79" s="138"/>
      <c r="AK79" s="138"/>
      <c r="AL79" s="110"/>
      <c r="AM79" s="138"/>
      <c r="AN79" s="108"/>
      <c r="AO79" s="108"/>
      <c r="AP79" s="110"/>
      <c r="AQ79" s="110"/>
      <c r="AR79" s="143"/>
      <c r="AS79" s="110"/>
      <c r="AT79" s="108"/>
      <c r="AU79" s="108"/>
      <c r="AV79" s="108"/>
      <c r="AW79" s="108"/>
      <c r="AX79" s="143"/>
      <c r="AY79" s="108"/>
      <c r="AZ79" s="108"/>
      <c r="BA79" s="108"/>
      <c r="BB79" s="108"/>
      <c r="BC79" s="108"/>
      <c r="BD79" s="110"/>
      <c r="BE79" s="108"/>
      <c r="BF79" s="136"/>
      <c r="BG79" s="108"/>
      <c r="BH79" s="108"/>
      <c r="BI79" s="108"/>
      <c r="BJ79" s="108"/>
      <c r="BK79" s="108"/>
      <c r="BL79" s="108"/>
      <c r="BM79" s="108"/>
      <c r="BN79" s="108"/>
      <c r="BO79" s="108"/>
      <c r="BP79" s="108"/>
      <c r="BQ79" s="108"/>
      <c r="BR79" s="108"/>
    </row>
    <row r="80" spans="2:70" ht="14.25" thickBot="1">
      <c r="B80" s="51"/>
      <c r="C80" s="57"/>
      <c r="D80" s="247"/>
      <c r="E80" s="9"/>
      <c r="F80" s="235"/>
      <c r="G80" s="236"/>
      <c r="H80" s="167"/>
      <c r="I80" s="257"/>
      <c r="J80" s="5"/>
      <c r="K80" s="52"/>
      <c r="L80" s="53"/>
      <c r="M80" s="53"/>
      <c r="N80" s="53"/>
      <c r="O80" s="53"/>
      <c r="P80" s="53"/>
      <c r="Q80" s="53"/>
      <c r="R80" s="53"/>
      <c r="S80" s="53"/>
      <c r="T80" s="10"/>
      <c r="U80" s="10"/>
      <c r="V80" s="5"/>
      <c r="W80" s="41"/>
      <c r="X80" s="142"/>
      <c r="Y80" s="113"/>
      <c r="Z80" s="32"/>
      <c r="AA80" s="138" t="s">
        <v>87</v>
      </c>
      <c r="AB80" s="138"/>
      <c r="AC80" s="18" t="s">
        <v>37</v>
      </c>
      <c r="AD80" s="138"/>
      <c r="AE80" s="138"/>
      <c r="AF80" s="138"/>
      <c r="AH80" s="138"/>
      <c r="AI80" s="138"/>
      <c r="AJ80" s="138"/>
      <c r="AK80" s="138"/>
      <c r="AL80" s="110"/>
      <c r="AM80" s="138"/>
      <c r="AN80" s="108"/>
      <c r="AO80" s="108"/>
      <c r="AP80" s="110"/>
      <c r="AQ80" s="110"/>
      <c r="AR80" s="108"/>
      <c r="AS80" s="108"/>
      <c r="AT80" s="108"/>
      <c r="AU80" s="108"/>
      <c r="AV80" s="108"/>
      <c r="AW80" s="108"/>
      <c r="AX80" s="108"/>
      <c r="AY80" s="108"/>
      <c r="AZ80" s="108"/>
      <c r="BA80" s="108"/>
      <c r="BB80" s="108"/>
      <c r="BC80" s="108"/>
      <c r="BD80" s="110"/>
      <c r="BE80" s="108"/>
      <c r="BF80" s="136"/>
      <c r="BG80" s="108"/>
      <c r="BH80" s="108"/>
      <c r="BI80" s="108"/>
      <c r="BJ80" s="108"/>
      <c r="BK80" s="108"/>
      <c r="BL80" s="108"/>
      <c r="BM80" s="108"/>
      <c r="BN80" s="108"/>
      <c r="BO80" s="108"/>
      <c r="BP80" s="108"/>
      <c r="BQ80" s="108"/>
      <c r="BR80" s="108"/>
    </row>
    <row r="81" spans="1:70" ht="14.25" thickBot="1">
      <c r="A81" t="s">
        <v>92</v>
      </c>
      <c r="B81" s="80" t="s">
        <v>77</v>
      </c>
      <c r="C81" s="82">
        <v>38537</v>
      </c>
      <c r="D81" s="244" t="str">
        <f>IF((F81=G81),"pen","")</f>
        <v>pen</v>
      </c>
      <c r="E81" s="25" t="str">
        <f>IF(AA72&lt;&gt;"draw",AA72,AC72)</f>
        <v>Winner QF A</v>
      </c>
      <c r="F81" s="231"/>
      <c r="G81" s="231"/>
      <c r="H81" s="165" t="str">
        <f>IF(AA73&lt;&gt;"draw",AA73,AC73)</f>
        <v>Winner QF B</v>
      </c>
      <c r="I81" s="256" t="str">
        <f>IF((F81=G81),"pen","")</f>
        <v>pen</v>
      </c>
      <c r="J81" s="5"/>
      <c r="K81" s="54"/>
      <c r="L81" s="4"/>
      <c r="M81" s="4"/>
      <c r="N81" s="4"/>
      <c r="O81" s="4"/>
      <c r="P81" s="4"/>
      <c r="Q81" s="4"/>
      <c r="R81" s="4"/>
      <c r="S81" s="4"/>
      <c r="T81" s="10"/>
      <c r="U81" s="10"/>
      <c r="V81" s="8"/>
      <c r="W81" s="11"/>
      <c r="X81" s="111"/>
      <c r="Y81" s="113"/>
      <c r="Z81" s="32"/>
      <c r="AA81" s="138" t="str">
        <f>IF(F81&gt;G81,E81,IF(G81&gt;F81,H81,"draw"))</f>
        <v>draw</v>
      </c>
      <c r="AB81" s="138"/>
      <c r="AC81" s="138" t="str">
        <f>IF(D81&gt;I81,E81,IF(I81&gt;D81,H81,"Winner SF I"))</f>
        <v>Winner SF I</v>
      </c>
      <c r="AD81" s="138"/>
      <c r="AE81" s="138"/>
      <c r="AF81" s="138"/>
      <c r="AH81" s="138"/>
      <c r="AI81" s="138"/>
      <c r="AJ81" s="138"/>
      <c r="AK81" s="138"/>
      <c r="AL81" s="110"/>
      <c r="AM81" s="138"/>
      <c r="AN81" s="108"/>
      <c r="AO81" s="108"/>
      <c r="AP81" s="110"/>
      <c r="AQ81" s="110"/>
      <c r="AR81" s="108"/>
      <c r="AS81" s="110"/>
      <c r="AT81" s="108"/>
      <c r="AU81" s="108"/>
      <c r="AV81" s="108"/>
      <c r="AW81" s="108"/>
      <c r="AX81" s="108"/>
      <c r="AY81" s="108"/>
      <c r="AZ81" s="108"/>
      <c r="BA81" s="108"/>
      <c r="BB81" s="108"/>
      <c r="BC81" s="108"/>
      <c r="BD81" s="110"/>
      <c r="BE81" s="108"/>
      <c r="BF81" s="141"/>
      <c r="BG81" s="110"/>
      <c r="BH81" s="110"/>
      <c r="BI81" s="110"/>
      <c r="BJ81" s="110"/>
      <c r="BK81" s="110"/>
      <c r="BL81" s="110"/>
      <c r="BM81" s="110"/>
      <c r="BN81" s="110"/>
      <c r="BO81" s="110"/>
      <c r="BP81" s="110"/>
      <c r="BQ81" s="108"/>
      <c r="BR81" s="110"/>
    </row>
    <row r="82" spans="1:70" ht="14.25" thickBot="1">
      <c r="A82" t="s">
        <v>93</v>
      </c>
      <c r="B82" s="80" t="s">
        <v>78</v>
      </c>
      <c r="C82" s="82">
        <v>38538</v>
      </c>
      <c r="D82" s="244" t="str">
        <f>IF((F82=G82),"pen","")</f>
        <v>pen</v>
      </c>
      <c r="E82" s="9" t="str">
        <f>IF(AA74&lt;&gt;"draw",AA74,AC74)</f>
        <v>Winner QF C</v>
      </c>
      <c r="F82" s="231"/>
      <c r="G82" s="231"/>
      <c r="H82" s="167" t="str">
        <f>IF(AA75&lt;&gt;"draw",AA75,AC75)</f>
        <v>Winner QF D</v>
      </c>
      <c r="I82" s="256" t="str">
        <f>IF((F82=G82),"pen","")</f>
        <v>pen</v>
      </c>
      <c r="J82" s="59"/>
      <c r="K82" s="54"/>
      <c r="L82" s="4"/>
      <c r="M82" s="4"/>
      <c r="N82" s="4"/>
      <c r="O82" s="4"/>
      <c r="P82" s="4"/>
      <c r="Q82" s="4"/>
      <c r="R82" s="4"/>
      <c r="S82" s="4"/>
      <c r="T82" s="10"/>
      <c r="U82" s="10"/>
      <c r="V82" s="5"/>
      <c r="W82" s="11"/>
      <c r="X82" s="111"/>
      <c r="Y82" s="113"/>
      <c r="Z82" s="32"/>
      <c r="AA82" s="138" t="str">
        <f>IF(F82&gt;G82,E82,IF(G82&gt;F82,H82,"draw"))</f>
        <v>draw</v>
      </c>
      <c r="AB82" s="138"/>
      <c r="AC82" s="138" t="str">
        <f>IF(D82&gt;I82,E82,IF(I82&gt;D82,H82,"Winner SF II"))</f>
        <v>Winner SF II</v>
      </c>
      <c r="AD82" s="138"/>
      <c r="AE82" s="138"/>
      <c r="AF82" s="138"/>
      <c r="AH82" s="138"/>
      <c r="AI82" s="138"/>
      <c r="AJ82" s="138"/>
      <c r="AK82" s="138"/>
      <c r="AL82" s="110"/>
      <c r="AM82" s="138"/>
      <c r="AN82" s="108"/>
      <c r="AO82" s="108"/>
      <c r="AP82" s="110"/>
      <c r="AQ82" s="110"/>
      <c r="AR82" s="108"/>
      <c r="AS82" s="110"/>
      <c r="AT82" s="108"/>
      <c r="AU82" s="108"/>
      <c r="AV82" s="108"/>
      <c r="AW82" s="108"/>
      <c r="AX82" s="108"/>
      <c r="AY82" s="108"/>
      <c r="AZ82" s="108"/>
      <c r="BA82" s="108"/>
      <c r="BB82" s="108"/>
      <c r="BC82" s="108"/>
      <c r="BD82" s="110"/>
      <c r="BE82" s="108"/>
      <c r="BF82" s="141"/>
      <c r="BG82" s="110"/>
      <c r="BH82" s="110"/>
      <c r="BI82" s="110"/>
      <c r="BJ82" s="110"/>
      <c r="BK82" s="110"/>
      <c r="BL82" s="110"/>
      <c r="BM82" s="110"/>
      <c r="BN82" s="110"/>
      <c r="BO82" s="110"/>
      <c r="BP82" s="110"/>
      <c r="BQ82" s="108"/>
      <c r="BR82" s="110"/>
    </row>
    <row r="83" spans="2:70" ht="13.5">
      <c r="B83" s="51"/>
      <c r="C83" s="56"/>
      <c r="D83" s="248"/>
      <c r="E83" s="47"/>
      <c r="F83" s="232"/>
      <c r="G83" s="232"/>
      <c r="H83" s="166"/>
      <c r="I83" s="258"/>
      <c r="K83" s="54"/>
      <c r="L83" s="4"/>
      <c r="M83" s="4"/>
      <c r="N83" s="4"/>
      <c r="O83" s="4"/>
      <c r="P83" s="4"/>
      <c r="Q83" s="4"/>
      <c r="R83" s="4"/>
      <c r="S83" s="4"/>
      <c r="T83" s="6"/>
      <c r="U83" s="6"/>
      <c r="V83" s="5"/>
      <c r="W83" s="5"/>
      <c r="X83" s="32"/>
      <c r="Y83" s="113"/>
      <c r="Z83" s="32"/>
      <c r="AA83" s="149"/>
      <c r="AB83" s="138"/>
      <c r="AC83" s="149"/>
      <c r="AD83" s="138"/>
      <c r="AE83" s="138"/>
      <c r="AF83" s="138"/>
      <c r="AG83" s="138"/>
      <c r="AH83" s="138"/>
      <c r="AI83" s="138"/>
      <c r="AJ83" s="138"/>
      <c r="AK83" s="138"/>
      <c r="AL83" s="110"/>
      <c r="AM83" s="138"/>
      <c r="AN83" s="108"/>
      <c r="AO83" s="108"/>
      <c r="AP83" s="110"/>
      <c r="AQ83" s="110"/>
      <c r="AR83" s="108"/>
      <c r="AS83" s="110"/>
      <c r="AT83" s="108"/>
      <c r="AU83" s="108"/>
      <c r="AV83" s="108"/>
      <c r="AW83" s="108"/>
      <c r="AX83" s="108"/>
      <c r="AY83" s="108"/>
      <c r="AZ83" s="108"/>
      <c r="BA83" s="108"/>
      <c r="BB83" s="108"/>
      <c r="BC83" s="108"/>
      <c r="BD83" s="110"/>
      <c r="BE83" s="108"/>
      <c r="BF83" s="141"/>
      <c r="BG83" s="110"/>
      <c r="BH83" s="110"/>
      <c r="BI83" s="110"/>
      <c r="BJ83" s="110"/>
      <c r="BK83" s="110"/>
      <c r="BL83" s="110"/>
      <c r="BM83" s="110"/>
      <c r="BN83" s="110"/>
      <c r="BO83" s="110"/>
      <c r="BP83" s="110"/>
      <c r="BQ83" s="108"/>
      <c r="BR83" s="110"/>
    </row>
    <row r="84" spans="2:70" ht="13.5">
      <c r="B84" s="46"/>
      <c r="C84" s="20"/>
      <c r="D84" s="249"/>
      <c r="E84" s="25"/>
      <c r="F84" s="232"/>
      <c r="G84" s="232"/>
      <c r="H84" s="167"/>
      <c r="I84" s="257"/>
      <c r="J84" s="58"/>
      <c r="K84" s="54"/>
      <c r="L84" s="4"/>
      <c r="M84" s="4"/>
      <c r="N84" s="4"/>
      <c r="O84" s="4"/>
      <c r="P84" s="4"/>
      <c r="Q84" s="4"/>
      <c r="R84" s="4"/>
      <c r="S84" s="4"/>
      <c r="T84" s="6"/>
      <c r="U84" s="6"/>
      <c r="V84" s="7"/>
      <c r="W84" s="5"/>
      <c r="X84" s="32"/>
      <c r="Y84" s="113"/>
      <c r="Z84" s="32"/>
      <c r="AA84" s="18"/>
      <c r="AB84" s="138"/>
      <c r="AD84" s="138"/>
      <c r="AE84" s="138"/>
      <c r="AF84" s="138"/>
      <c r="AG84" s="138"/>
      <c r="AH84" s="138"/>
      <c r="AI84" s="138"/>
      <c r="AJ84" s="138"/>
      <c r="AK84" s="138"/>
      <c r="AL84" s="110"/>
      <c r="AM84" s="138"/>
      <c r="AN84" s="108"/>
      <c r="AO84" s="108"/>
      <c r="AP84" s="110"/>
      <c r="AQ84" s="110"/>
      <c r="AR84" s="108"/>
      <c r="AS84" s="110"/>
      <c r="AT84" s="108"/>
      <c r="AU84" s="108"/>
      <c r="AV84" s="108"/>
      <c r="AW84" s="108"/>
      <c r="AX84" s="108"/>
      <c r="AY84" s="108"/>
      <c r="AZ84" s="108"/>
      <c r="BA84" s="108"/>
      <c r="BB84" s="108"/>
      <c r="BC84" s="108"/>
      <c r="BD84" s="110"/>
      <c r="BE84" s="108"/>
      <c r="BF84" s="136"/>
      <c r="BG84" s="108"/>
      <c r="BH84" s="108"/>
      <c r="BI84" s="108"/>
      <c r="BJ84" s="108"/>
      <c r="BK84" s="108"/>
      <c r="BL84" s="108"/>
      <c r="BM84" s="108"/>
      <c r="BN84" s="108"/>
      <c r="BO84" s="108"/>
      <c r="BP84" s="108"/>
      <c r="BQ84" s="108"/>
      <c r="BR84" s="108"/>
    </row>
    <row r="85" spans="2:70" ht="18.75">
      <c r="B85" s="98" t="s">
        <v>35</v>
      </c>
      <c r="C85" s="100"/>
      <c r="D85" s="250"/>
      <c r="E85" s="102"/>
      <c r="F85" s="233"/>
      <c r="G85" s="233"/>
      <c r="H85" s="164"/>
      <c r="I85" s="252"/>
      <c r="J85" s="58"/>
      <c r="K85" s="52"/>
      <c r="L85" s="53"/>
      <c r="M85" s="53"/>
      <c r="N85" s="53"/>
      <c r="O85" s="53"/>
      <c r="P85" s="53"/>
      <c r="Q85" s="53"/>
      <c r="R85" s="53"/>
      <c r="S85" s="53"/>
      <c r="T85" s="6"/>
      <c r="U85" s="6"/>
      <c r="V85" s="8"/>
      <c r="W85" s="5"/>
      <c r="X85" s="32"/>
      <c r="Y85" s="113"/>
      <c r="Z85" s="32"/>
      <c r="AA85" s="138"/>
      <c r="AB85" s="138"/>
      <c r="AC85" s="138"/>
      <c r="AD85" s="138"/>
      <c r="AE85" s="138"/>
      <c r="AF85" s="138"/>
      <c r="AG85" s="138"/>
      <c r="AH85" s="138"/>
      <c r="AI85" s="138"/>
      <c r="AJ85" s="138"/>
      <c r="AK85" s="138"/>
      <c r="AL85" s="110"/>
      <c r="AM85" s="138"/>
      <c r="AN85" s="108"/>
      <c r="AO85" s="108"/>
      <c r="AP85" s="110"/>
      <c r="AQ85" s="110"/>
      <c r="AR85" s="143"/>
      <c r="AS85" s="110"/>
      <c r="AT85" s="108"/>
      <c r="AU85" s="108"/>
      <c r="AV85" s="108"/>
      <c r="AW85" s="108"/>
      <c r="AX85" s="108"/>
      <c r="AY85" s="108"/>
      <c r="AZ85" s="108"/>
      <c r="BA85" s="108"/>
      <c r="BB85" s="108"/>
      <c r="BC85" s="108"/>
      <c r="BD85" s="110"/>
      <c r="BE85" s="108"/>
      <c r="BF85" s="136"/>
      <c r="BG85" s="108"/>
      <c r="BH85" s="108"/>
      <c r="BI85" s="108"/>
      <c r="BJ85" s="108"/>
      <c r="BK85" s="108"/>
      <c r="BL85" s="108"/>
      <c r="BM85" s="108"/>
      <c r="BN85" s="108"/>
      <c r="BO85" s="108"/>
      <c r="BP85" s="108"/>
      <c r="BQ85" s="108"/>
      <c r="BR85" s="108"/>
    </row>
    <row r="86" spans="2:70" ht="13.5">
      <c r="B86" s="127"/>
      <c r="C86" s="194" t="s">
        <v>5</v>
      </c>
      <c r="D86" s="239"/>
      <c r="E86" s="128"/>
      <c r="F86" s="239"/>
      <c r="G86" s="239"/>
      <c r="H86" s="193"/>
      <c r="I86" s="260"/>
      <c r="K86" s="54"/>
      <c r="L86" s="4"/>
      <c r="M86" s="4"/>
      <c r="N86" s="4"/>
      <c r="O86" s="4"/>
      <c r="P86" s="4"/>
      <c r="Q86" s="4"/>
      <c r="R86" s="4"/>
      <c r="S86" s="4"/>
      <c r="T86" s="6"/>
      <c r="U86" s="6"/>
      <c r="V86" s="5"/>
      <c r="W86" s="5"/>
      <c r="X86" s="32"/>
      <c r="Y86" s="113"/>
      <c r="Z86" s="32"/>
      <c r="AA86" s="138"/>
      <c r="AB86" s="138"/>
      <c r="AC86" s="138"/>
      <c r="AD86" s="138"/>
      <c r="AE86" s="138"/>
      <c r="AF86" s="138"/>
      <c r="AG86" s="138"/>
      <c r="AH86" s="138"/>
      <c r="AI86" s="138"/>
      <c r="AJ86" s="138"/>
      <c r="AK86" s="138"/>
      <c r="AL86" s="110"/>
      <c r="AM86" s="138"/>
      <c r="AN86" s="108"/>
      <c r="AO86" s="108"/>
      <c r="AP86" s="110"/>
      <c r="AQ86" s="110"/>
      <c r="AR86" s="108"/>
      <c r="AS86" s="108"/>
      <c r="AT86" s="108"/>
      <c r="AU86" s="108"/>
      <c r="AV86" s="108"/>
      <c r="AW86" s="108"/>
      <c r="AX86" s="108"/>
      <c r="AY86" s="108"/>
      <c r="AZ86" s="108"/>
      <c r="BA86" s="108"/>
      <c r="BB86" s="108"/>
      <c r="BC86" s="108"/>
      <c r="BD86" s="110"/>
      <c r="BE86" s="108"/>
      <c r="BF86" s="136"/>
      <c r="BG86" s="108"/>
      <c r="BH86" s="108"/>
      <c r="BI86" s="108"/>
      <c r="BJ86" s="108"/>
      <c r="BK86" s="108"/>
      <c r="BL86" s="108"/>
      <c r="BM86" s="108"/>
      <c r="BN86" s="108"/>
      <c r="BO86" s="108"/>
      <c r="BP86" s="108"/>
      <c r="BQ86" s="108"/>
      <c r="BR86" s="108"/>
    </row>
    <row r="87" spans="2:70" ht="14.25" thickBot="1">
      <c r="B87" s="54"/>
      <c r="C87" s="19"/>
      <c r="D87" s="237"/>
      <c r="E87" s="47"/>
      <c r="F87" s="237"/>
      <c r="G87" s="237"/>
      <c r="H87" s="166"/>
      <c r="I87" s="258"/>
      <c r="J87" s="5"/>
      <c r="K87" s="54"/>
      <c r="L87" s="4"/>
      <c r="M87" s="4"/>
      <c r="N87" s="4"/>
      <c r="O87" s="4"/>
      <c r="P87" s="4"/>
      <c r="Q87" s="4"/>
      <c r="R87" s="4"/>
      <c r="S87" s="4"/>
      <c r="T87" s="6"/>
      <c r="U87" s="6"/>
      <c r="V87" s="55"/>
      <c r="W87" s="54"/>
      <c r="X87" s="146"/>
      <c r="Y87" s="113"/>
      <c r="Z87" s="32"/>
      <c r="AB87" s="138"/>
      <c r="AC87" s="18" t="s">
        <v>37</v>
      </c>
      <c r="AD87" s="138"/>
      <c r="AE87" s="138"/>
      <c r="AF87" s="138"/>
      <c r="AG87" s="138"/>
      <c r="AH87" s="138"/>
      <c r="AI87" s="138"/>
      <c r="AJ87" s="138"/>
      <c r="AK87" s="138"/>
      <c r="AL87" s="110"/>
      <c r="AM87" s="138"/>
      <c r="AN87" s="108"/>
      <c r="AO87" s="108"/>
      <c r="AP87" s="110"/>
      <c r="AQ87" s="110"/>
      <c r="AR87" s="108"/>
      <c r="AS87" s="110"/>
      <c r="AT87" s="108"/>
      <c r="AU87" s="108"/>
      <c r="AV87" s="108"/>
      <c r="AW87" s="108"/>
      <c r="AX87" s="108"/>
      <c r="AY87" s="108"/>
      <c r="AZ87" s="108"/>
      <c r="BA87" s="108"/>
      <c r="BB87" s="108"/>
      <c r="BC87" s="108"/>
      <c r="BD87" s="110"/>
      <c r="BE87" s="108"/>
      <c r="BF87" s="141"/>
      <c r="BG87" s="110"/>
      <c r="BH87" s="110"/>
      <c r="BI87" s="110"/>
      <c r="BJ87" s="110"/>
      <c r="BK87" s="110"/>
      <c r="BL87" s="110"/>
      <c r="BM87" s="110"/>
      <c r="BN87" s="110"/>
      <c r="BO87" s="110"/>
      <c r="BP87" s="110"/>
      <c r="BQ87" s="108"/>
      <c r="BR87" s="110"/>
    </row>
    <row r="88" spans="2:70" ht="14.25" thickBot="1">
      <c r="B88" s="80" t="s">
        <v>75</v>
      </c>
      <c r="C88" s="82">
        <v>38542</v>
      </c>
      <c r="D88" s="244" t="str">
        <f>IF((F88=G88),"pen","")</f>
        <v>pen</v>
      </c>
      <c r="E88" s="25" t="str">
        <f>IF(AA81&lt;&gt;"draw",AA81,AC81)</f>
        <v>Winner SF I</v>
      </c>
      <c r="F88" s="231"/>
      <c r="G88" s="231"/>
      <c r="H88" s="165" t="str">
        <f>IF(AA82&lt;&gt;"draw",AA82,AC82)</f>
        <v>Winner SF II</v>
      </c>
      <c r="I88" s="251" t="str">
        <f>IF((F88=G88),"pen","")</f>
        <v>pen</v>
      </c>
      <c r="J88" s="5"/>
      <c r="K88" s="54"/>
      <c r="L88" s="4"/>
      <c r="M88" s="4"/>
      <c r="N88" s="4"/>
      <c r="O88" s="4"/>
      <c r="P88" s="4"/>
      <c r="Q88" s="4"/>
      <c r="R88" s="4"/>
      <c r="S88" s="4"/>
      <c r="T88" s="6"/>
      <c r="U88" s="6"/>
      <c r="V88" s="7"/>
      <c r="W88" s="5"/>
      <c r="X88" s="32"/>
      <c r="Y88" s="113"/>
      <c r="Z88" s="32"/>
      <c r="AA88" s="138" t="str">
        <f>IF(F88&gt;G88,E88,IF(G88&gt;F88,H88,"draw"))</f>
        <v>draw</v>
      </c>
      <c r="AB88" s="138"/>
      <c r="AC88" s="138">
        <f>IF(D88&gt;I88,E88,IF(I88&gt;D88,H88,""))</f>
      </c>
      <c r="AD88" s="138"/>
      <c r="AE88" s="138"/>
      <c r="AF88" s="138"/>
      <c r="AG88" s="138"/>
      <c r="AH88" s="138"/>
      <c r="AI88" s="138"/>
      <c r="AJ88" s="138"/>
      <c r="AK88" s="138"/>
      <c r="AL88" s="110"/>
      <c r="AM88" s="138"/>
      <c r="AN88" s="108"/>
      <c r="AO88" s="108"/>
      <c r="AP88" s="110"/>
      <c r="AQ88" s="110"/>
      <c r="AR88" s="108"/>
      <c r="AS88" s="110"/>
      <c r="AT88" s="108"/>
      <c r="AU88" s="108"/>
      <c r="AV88" s="108"/>
      <c r="AW88" s="108"/>
      <c r="AX88" s="108"/>
      <c r="AY88" s="108"/>
      <c r="AZ88" s="108"/>
      <c r="BA88" s="108"/>
      <c r="BB88" s="108"/>
      <c r="BC88" s="108"/>
      <c r="BD88" s="110"/>
      <c r="BE88" s="108"/>
      <c r="BF88" s="141"/>
      <c r="BG88" s="110"/>
      <c r="BH88" s="110"/>
      <c r="BI88" s="110"/>
      <c r="BJ88" s="110"/>
      <c r="BK88" s="110"/>
      <c r="BL88" s="110"/>
      <c r="BM88" s="110"/>
      <c r="BN88" s="110"/>
      <c r="BO88" s="110"/>
      <c r="BP88" s="110"/>
      <c r="BQ88" s="108"/>
      <c r="BR88" s="110"/>
    </row>
    <row r="89" spans="2:70" ht="13.5">
      <c r="B89" s="80"/>
      <c r="C89" s="20"/>
      <c r="D89" s="11"/>
      <c r="E89" s="9"/>
      <c r="F89" s="2"/>
      <c r="G89" s="1"/>
      <c r="H89" s="165"/>
      <c r="I89" s="21"/>
      <c r="J89" s="5"/>
      <c r="K89" s="54"/>
      <c r="L89" s="4"/>
      <c r="M89" s="4"/>
      <c r="N89" s="4"/>
      <c r="O89" s="4"/>
      <c r="P89" s="4"/>
      <c r="Q89" s="4"/>
      <c r="R89" s="4"/>
      <c r="S89" s="4"/>
      <c r="T89" s="6"/>
      <c r="U89" s="6"/>
      <c r="V89" s="8"/>
      <c r="W89" s="5"/>
      <c r="X89" s="32"/>
      <c r="Y89" s="113"/>
      <c r="Z89" s="32"/>
      <c r="AA89" s="110"/>
      <c r="AB89" s="138"/>
      <c r="AC89" s="138"/>
      <c r="AD89" s="138"/>
      <c r="AE89" s="138"/>
      <c r="AF89" s="138"/>
      <c r="AG89" s="138"/>
      <c r="AH89" s="138"/>
      <c r="AI89" s="138"/>
      <c r="AJ89" s="138"/>
      <c r="AK89" s="138"/>
      <c r="AL89" s="110"/>
      <c r="AM89" s="138"/>
      <c r="AN89" s="108"/>
      <c r="AO89" s="108"/>
      <c r="AP89" s="110"/>
      <c r="AQ89" s="110"/>
      <c r="AR89" s="108"/>
      <c r="AS89" s="110"/>
      <c r="AT89" s="108"/>
      <c r="AU89" s="108"/>
      <c r="AV89" s="108"/>
      <c r="AW89" s="108"/>
      <c r="AX89" s="108"/>
      <c r="AY89" s="108"/>
      <c r="AZ89" s="108"/>
      <c r="BA89" s="108"/>
      <c r="BB89" s="108"/>
      <c r="BC89" s="108"/>
      <c r="BD89" s="110"/>
      <c r="BE89" s="108"/>
      <c r="BF89" s="141"/>
      <c r="BG89" s="110"/>
      <c r="BH89" s="110"/>
      <c r="BI89" s="110"/>
      <c r="BJ89" s="110"/>
      <c r="BK89" s="110"/>
      <c r="BL89" s="110"/>
      <c r="BM89" s="110"/>
      <c r="BN89" s="110"/>
      <c r="BO89" s="110"/>
      <c r="BP89" s="110"/>
      <c r="BQ89" s="108"/>
      <c r="BR89" s="110"/>
    </row>
    <row r="90" spans="2:70" ht="14.25" thickBot="1">
      <c r="B90" s="48"/>
      <c r="C90" s="20"/>
      <c r="D90" s="5"/>
      <c r="E90" s="9"/>
      <c r="F90" s="2"/>
      <c r="G90" s="1"/>
      <c r="H90" s="165"/>
      <c r="I90" s="21"/>
      <c r="J90" s="5"/>
      <c r="K90" s="5"/>
      <c r="L90" s="4"/>
      <c r="M90" s="4"/>
      <c r="N90" s="4"/>
      <c r="O90" s="4"/>
      <c r="P90" s="4"/>
      <c r="Q90" s="4"/>
      <c r="R90" s="4"/>
      <c r="S90" s="4"/>
      <c r="T90" s="6"/>
      <c r="U90" s="6"/>
      <c r="V90" s="54"/>
      <c r="W90" s="41"/>
      <c r="X90" s="142"/>
      <c r="Y90" s="113"/>
      <c r="Z90" s="32"/>
      <c r="AA90" s="110"/>
      <c r="AB90" s="138"/>
      <c r="AC90" s="138"/>
      <c r="AD90" s="138"/>
      <c r="AE90" s="138"/>
      <c r="AF90" s="138"/>
      <c r="AG90" s="138"/>
      <c r="AH90" s="138"/>
      <c r="AI90" s="138"/>
      <c r="AJ90" s="138"/>
      <c r="AK90" s="138"/>
      <c r="AL90" s="110"/>
      <c r="AM90" s="138"/>
      <c r="AN90" s="108"/>
      <c r="AO90" s="108"/>
      <c r="AP90" s="110"/>
      <c r="AQ90" s="110"/>
      <c r="AR90" s="108"/>
      <c r="AS90" s="110"/>
      <c r="AT90" s="108"/>
      <c r="AU90" s="108"/>
      <c r="AV90" s="108"/>
      <c r="AW90" s="108"/>
      <c r="AX90" s="108"/>
      <c r="AY90" s="108"/>
      <c r="AZ90" s="108"/>
      <c r="BA90" s="108"/>
      <c r="BB90" s="108"/>
      <c r="BC90" s="108"/>
      <c r="BD90" s="110"/>
      <c r="BE90" s="108"/>
      <c r="BF90" s="141"/>
      <c r="BG90" s="110"/>
      <c r="BH90" s="110"/>
      <c r="BI90" s="110"/>
      <c r="BJ90" s="110"/>
      <c r="BK90" s="110"/>
      <c r="BL90" s="110"/>
      <c r="BM90" s="110"/>
      <c r="BN90" s="110"/>
      <c r="BO90" s="110"/>
      <c r="BP90" s="110"/>
      <c r="BQ90" s="108"/>
      <c r="BR90" s="110"/>
    </row>
    <row r="91" spans="2:70" ht="42" thickBot="1">
      <c r="B91" s="202" t="s">
        <v>36</v>
      </c>
      <c r="C91" s="203"/>
      <c r="D91" s="204"/>
      <c r="E91" s="205">
        <f>IF(AA88&lt;&gt;"draw",AA88,AC88)</f>
      </c>
      <c r="F91" s="206"/>
      <c r="G91" s="206"/>
      <c r="H91" s="207"/>
      <c r="I91" s="208"/>
      <c r="K91" s="5"/>
      <c r="L91" s="4"/>
      <c r="M91" s="4"/>
      <c r="N91" s="4"/>
      <c r="O91" s="4"/>
      <c r="P91" s="4"/>
      <c r="Q91" s="4"/>
      <c r="R91" s="4"/>
      <c r="S91" s="4"/>
      <c r="T91" s="6"/>
      <c r="U91" s="6"/>
      <c r="V91" s="5"/>
      <c r="W91" s="11"/>
      <c r="X91" s="111"/>
      <c r="Y91" s="113"/>
      <c r="Z91" s="32"/>
      <c r="AA91" s="110"/>
      <c r="AB91" s="138"/>
      <c r="AC91" s="138"/>
      <c r="AD91" s="138"/>
      <c r="AE91" s="138"/>
      <c r="AF91" s="138"/>
      <c r="AG91" s="138"/>
      <c r="AH91" s="138"/>
      <c r="AI91" s="138"/>
      <c r="AJ91" s="138"/>
      <c r="AK91" s="138"/>
      <c r="AL91" s="110"/>
      <c r="AM91" s="138"/>
      <c r="AN91" s="108"/>
      <c r="AO91" s="108"/>
      <c r="AP91" s="110"/>
      <c r="AQ91" s="110"/>
      <c r="AR91" s="108"/>
      <c r="AS91" s="110"/>
      <c r="AT91" s="108"/>
      <c r="AU91" s="108"/>
      <c r="AV91" s="108"/>
      <c r="AW91" s="108"/>
      <c r="AX91" s="108"/>
      <c r="AY91" s="108"/>
      <c r="AZ91" s="108"/>
      <c r="BA91" s="108"/>
      <c r="BB91" s="108"/>
      <c r="BC91" s="108"/>
      <c r="BD91" s="110"/>
      <c r="BE91" s="108"/>
      <c r="BF91" s="136"/>
      <c r="BG91" s="108"/>
      <c r="BH91" s="108"/>
      <c r="BI91" s="108"/>
      <c r="BJ91" s="108"/>
      <c r="BK91" s="108"/>
      <c r="BL91" s="108"/>
      <c r="BM91" s="108"/>
      <c r="BN91" s="108"/>
      <c r="BO91" s="108"/>
      <c r="BP91" s="108"/>
      <c r="BQ91" s="108"/>
      <c r="BR91" s="108"/>
    </row>
    <row r="92" spans="10:70" ht="13.5">
      <c r="J92" s="21"/>
      <c r="K92" s="60"/>
      <c r="L92" s="61"/>
      <c r="M92" s="61"/>
      <c r="N92" s="61"/>
      <c r="O92" s="61"/>
      <c r="P92" s="61"/>
      <c r="Q92" s="61"/>
      <c r="R92" s="61"/>
      <c r="S92" s="61"/>
      <c r="T92" s="6"/>
      <c r="U92" s="6"/>
      <c r="V92" s="5"/>
      <c r="W92" s="11"/>
      <c r="X92" s="111"/>
      <c r="Y92" s="32"/>
      <c r="Z92" s="32"/>
      <c r="AA92" s="108"/>
      <c r="AB92" s="135"/>
      <c r="AC92" s="135"/>
      <c r="AD92" s="135"/>
      <c r="AE92" s="135"/>
      <c r="AF92" s="135"/>
      <c r="AG92" s="135"/>
      <c r="AH92" s="135"/>
      <c r="AI92" s="135"/>
      <c r="AJ92" s="135"/>
      <c r="AK92" s="135"/>
      <c r="AL92" s="135"/>
      <c r="AM92" s="135"/>
      <c r="AN92" s="108"/>
      <c r="AO92" s="108"/>
      <c r="AP92" s="110"/>
      <c r="AQ92" s="110"/>
      <c r="AR92" s="143"/>
      <c r="AS92" s="110"/>
      <c r="AT92" s="108"/>
      <c r="AU92" s="108"/>
      <c r="AV92" s="108"/>
      <c r="AW92" s="108"/>
      <c r="AX92" s="108"/>
      <c r="AY92" s="108"/>
      <c r="AZ92" s="108"/>
      <c r="BA92" s="108"/>
      <c r="BB92" s="108"/>
      <c r="BC92" s="108"/>
      <c r="BD92" s="110"/>
      <c r="BE92" s="108"/>
      <c r="BF92" s="136"/>
      <c r="BG92" s="108"/>
      <c r="BH92" s="108"/>
      <c r="BI92" s="108"/>
      <c r="BJ92" s="108"/>
      <c r="BK92" s="108"/>
      <c r="BL92" s="108"/>
      <c r="BM92" s="108"/>
      <c r="BN92" s="108"/>
      <c r="BO92" s="108"/>
      <c r="BP92" s="108"/>
      <c r="BQ92" s="108"/>
      <c r="BR92" s="108"/>
    </row>
    <row r="93" spans="10:70" ht="13.5">
      <c r="J93" s="21"/>
      <c r="K93" s="5"/>
      <c r="L93" s="4"/>
      <c r="M93" s="4"/>
      <c r="N93" s="4"/>
      <c r="O93" s="4"/>
      <c r="P93" s="4"/>
      <c r="Q93" s="4"/>
      <c r="R93" s="4"/>
      <c r="S93" s="4"/>
      <c r="T93" s="6"/>
      <c r="U93" s="6"/>
      <c r="V93" s="54"/>
      <c r="W93" s="41"/>
      <c r="X93" s="142"/>
      <c r="Y93" s="32"/>
      <c r="Z93" s="32"/>
      <c r="AA93" s="108"/>
      <c r="AB93" s="135"/>
      <c r="AC93" s="135"/>
      <c r="AD93" s="135"/>
      <c r="AE93" s="135"/>
      <c r="AF93" s="135"/>
      <c r="AG93" s="135"/>
      <c r="AH93" s="135"/>
      <c r="AI93" s="135"/>
      <c r="AJ93" s="135"/>
      <c r="AK93" s="135"/>
      <c r="AL93" s="135"/>
      <c r="AM93" s="135"/>
      <c r="AN93" s="108"/>
      <c r="AO93" s="108"/>
      <c r="AP93" s="110"/>
      <c r="AQ93" s="110"/>
      <c r="AR93" s="108"/>
      <c r="AS93" s="108"/>
      <c r="AT93" s="108"/>
      <c r="AU93" s="108"/>
      <c r="AV93" s="108"/>
      <c r="AW93" s="108"/>
      <c r="AX93" s="108"/>
      <c r="AY93" s="108"/>
      <c r="AZ93" s="108"/>
      <c r="BA93" s="108"/>
      <c r="BB93" s="108"/>
      <c r="BC93" s="108"/>
      <c r="BD93" s="110"/>
      <c r="BE93" s="108"/>
      <c r="BF93" s="136"/>
      <c r="BG93" s="108"/>
      <c r="BH93" s="108"/>
      <c r="BI93" s="108"/>
      <c r="BJ93" s="108"/>
      <c r="BK93" s="108"/>
      <c r="BL93" s="108"/>
      <c r="BM93" s="108"/>
      <c r="BN93" s="108"/>
      <c r="BO93" s="108"/>
      <c r="BP93" s="108"/>
      <c r="BQ93" s="108"/>
      <c r="BR93" s="108"/>
    </row>
    <row r="94" spans="11:70" ht="13.5">
      <c r="K94" s="5"/>
      <c r="L94" s="4"/>
      <c r="M94" s="4"/>
      <c r="N94" s="4"/>
      <c r="O94" s="4"/>
      <c r="P94" s="4"/>
      <c r="Q94" s="4"/>
      <c r="R94" s="4"/>
      <c r="S94" s="4"/>
      <c r="T94" s="6"/>
      <c r="U94" s="6"/>
      <c r="V94" s="5"/>
      <c r="W94" s="11"/>
      <c r="X94" s="111"/>
      <c r="Y94" s="32"/>
      <c r="Z94" s="32"/>
      <c r="AA94" s="108"/>
      <c r="AB94" s="135"/>
      <c r="AC94" s="135"/>
      <c r="AD94" s="135"/>
      <c r="AE94" s="135"/>
      <c r="AF94" s="135"/>
      <c r="AG94" s="135"/>
      <c r="AH94" s="135"/>
      <c r="AI94" s="135"/>
      <c r="AJ94" s="135"/>
      <c r="AK94" s="135"/>
      <c r="AL94" s="135"/>
      <c r="AM94" s="135"/>
      <c r="AN94" s="108"/>
      <c r="AO94" s="108"/>
      <c r="AP94" s="110"/>
      <c r="AQ94" s="110"/>
      <c r="AR94" s="108"/>
      <c r="AS94" s="110"/>
      <c r="AT94" s="108"/>
      <c r="AU94" s="108"/>
      <c r="AV94" s="108"/>
      <c r="AW94" s="108"/>
      <c r="AX94" s="108"/>
      <c r="AY94" s="108"/>
      <c r="AZ94" s="108"/>
      <c r="BA94" s="108"/>
      <c r="BB94" s="108"/>
      <c r="BC94" s="108"/>
      <c r="BD94" s="110"/>
      <c r="BE94" s="108"/>
      <c r="BF94" s="141"/>
      <c r="BG94" s="110"/>
      <c r="BH94" s="110"/>
      <c r="BI94" s="110"/>
      <c r="BJ94" s="110"/>
      <c r="BK94" s="110"/>
      <c r="BL94" s="110"/>
      <c r="BM94" s="110"/>
      <c r="BN94" s="110"/>
      <c r="BO94" s="110"/>
      <c r="BP94" s="110"/>
      <c r="BQ94" s="108"/>
      <c r="BR94" s="110"/>
    </row>
    <row r="95" spans="10:70" ht="13.5">
      <c r="J95" s="21"/>
      <c r="K95" s="5"/>
      <c r="L95" s="4"/>
      <c r="M95" s="4"/>
      <c r="N95" s="4"/>
      <c r="O95" s="4"/>
      <c r="P95" s="4"/>
      <c r="Q95" s="4"/>
      <c r="R95" s="4"/>
      <c r="S95" s="4"/>
      <c r="T95" s="6"/>
      <c r="U95" s="6"/>
      <c r="V95" s="5"/>
      <c r="W95" s="11"/>
      <c r="X95" s="111"/>
      <c r="Y95" s="32"/>
      <c r="Z95" s="32"/>
      <c r="AA95" s="108"/>
      <c r="AB95" s="135"/>
      <c r="AC95" s="135"/>
      <c r="AD95" s="135"/>
      <c r="AE95" s="135"/>
      <c r="AF95" s="135"/>
      <c r="AG95" s="135"/>
      <c r="AH95" s="135"/>
      <c r="AI95" s="135"/>
      <c r="AJ95" s="135"/>
      <c r="AK95" s="135"/>
      <c r="AL95" s="135"/>
      <c r="AM95" s="135"/>
      <c r="AN95" s="108"/>
      <c r="AO95" s="108"/>
      <c r="AP95" s="110"/>
      <c r="AQ95" s="110"/>
      <c r="AR95" s="108"/>
      <c r="AS95" s="110"/>
      <c r="AT95" s="108"/>
      <c r="AU95" s="108"/>
      <c r="AV95" s="108"/>
      <c r="AW95" s="108"/>
      <c r="AX95" s="108"/>
      <c r="AY95" s="108"/>
      <c r="AZ95" s="108"/>
      <c r="BA95" s="108"/>
      <c r="BB95" s="108"/>
      <c r="BC95" s="108"/>
      <c r="BD95" s="110"/>
      <c r="BE95" s="108"/>
      <c r="BF95" s="141"/>
      <c r="BG95" s="110"/>
      <c r="BH95" s="110"/>
      <c r="BI95" s="110"/>
      <c r="BJ95" s="110"/>
      <c r="BK95" s="110"/>
      <c r="BL95" s="110"/>
      <c r="BM95" s="110"/>
      <c r="BN95" s="110"/>
      <c r="BO95" s="110"/>
      <c r="BP95" s="110"/>
      <c r="BQ95" s="108"/>
      <c r="BR95" s="110"/>
    </row>
    <row r="96" spans="2:70" ht="13.5">
      <c r="B96" s="5"/>
      <c r="C96" s="5"/>
      <c r="D96" s="5"/>
      <c r="E96" s="9"/>
      <c r="F96" s="5"/>
      <c r="G96" s="5"/>
      <c r="H96" s="167"/>
      <c r="I96" s="5"/>
      <c r="J96" s="5"/>
      <c r="K96" s="5"/>
      <c r="L96" s="5"/>
      <c r="M96" s="5"/>
      <c r="N96" s="5"/>
      <c r="O96" s="5"/>
      <c r="P96" s="5"/>
      <c r="Q96" s="5"/>
      <c r="R96" s="5"/>
      <c r="S96" s="4"/>
      <c r="T96" s="6"/>
      <c r="U96" s="6"/>
      <c r="V96" s="4"/>
      <c r="W96" s="41"/>
      <c r="X96" s="32"/>
      <c r="Y96" s="32"/>
      <c r="Z96" s="32"/>
      <c r="AB96" s="32"/>
      <c r="AC96" s="32"/>
      <c r="AD96" s="32"/>
      <c r="AE96" s="32"/>
      <c r="AF96" s="32"/>
      <c r="AH96" s="18"/>
      <c r="AI96" s="32"/>
      <c r="AJ96" s="18"/>
      <c r="AK96" s="32"/>
      <c r="AL96" s="108"/>
      <c r="AM96" s="108"/>
      <c r="AN96" s="32"/>
      <c r="AO96" s="108"/>
      <c r="AP96" s="110"/>
      <c r="AQ96" s="110"/>
      <c r="AR96" s="108"/>
      <c r="AS96" s="110"/>
      <c r="AT96" s="108"/>
      <c r="AU96" s="108"/>
      <c r="AV96" s="108"/>
      <c r="AW96" s="108"/>
      <c r="AX96" s="108"/>
      <c r="AY96" s="108"/>
      <c r="AZ96" s="108"/>
      <c r="BA96" s="108"/>
      <c r="BB96" s="108"/>
      <c r="BC96" s="108"/>
      <c r="BD96" s="110"/>
      <c r="BE96" s="108"/>
      <c r="BF96" s="141"/>
      <c r="BG96" s="110"/>
      <c r="BH96" s="110"/>
      <c r="BI96" s="110"/>
      <c r="BJ96" s="110"/>
      <c r="BK96" s="110"/>
      <c r="BL96" s="110"/>
      <c r="BM96" s="110"/>
      <c r="BN96" s="110"/>
      <c r="BO96" s="110"/>
      <c r="BP96" s="110"/>
      <c r="BQ96" s="108"/>
      <c r="BR96" s="110"/>
    </row>
    <row r="97" spans="2:70" ht="13.5">
      <c r="B97" s="60"/>
      <c r="C97" s="60"/>
      <c r="D97" s="60"/>
      <c r="E97" s="71"/>
      <c r="F97" s="60"/>
      <c r="G97" s="60"/>
      <c r="H97" s="168"/>
      <c r="I97" s="60"/>
      <c r="J97" s="60"/>
      <c r="K97" s="60"/>
      <c r="L97" s="60"/>
      <c r="M97" s="60"/>
      <c r="N97" s="60"/>
      <c r="O97" s="60"/>
      <c r="P97" s="60"/>
      <c r="Q97" s="60"/>
      <c r="R97" s="60"/>
      <c r="S97" s="61"/>
      <c r="T97" s="63"/>
      <c r="U97" s="63"/>
      <c r="V97" s="6"/>
      <c r="W97" s="13"/>
      <c r="X97" s="114"/>
      <c r="Y97" s="114"/>
      <c r="Z97" s="114"/>
      <c r="AB97" s="114"/>
      <c r="AC97" s="114"/>
      <c r="AD97" s="114"/>
      <c r="AE97" s="114"/>
      <c r="AF97" s="114"/>
      <c r="AH97" s="147"/>
      <c r="AI97" s="114"/>
      <c r="AJ97" s="147"/>
      <c r="AK97" s="114"/>
      <c r="AL97" s="115"/>
      <c r="AM97" s="115"/>
      <c r="AN97" s="114"/>
      <c r="AO97" s="108"/>
      <c r="AP97" s="110"/>
      <c r="AQ97" s="110"/>
      <c r="AR97" s="108"/>
      <c r="AS97" s="110"/>
      <c r="AT97" s="108"/>
      <c r="AU97" s="108"/>
      <c r="AV97" s="108"/>
      <c r="AW97" s="108"/>
      <c r="AX97" s="108"/>
      <c r="AY97" s="108"/>
      <c r="AZ97" s="108"/>
      <c r="BA97" s="108"/>
      <c r="BB97" s="108"/>
      <c r="BC97" s="108"/>
      <c r="BD97" s="110"/>
      <c r="BE97" s="108"/>
      <c r="BF97" s="141"/>
      <c r="BG97" s="110"/>
      <c r="BH97" s="110"/>
      <c r="BI97" s="110"/>
      <c r="BJ97" s="110"/>
      <c r="BK97" s="110"/>
      <c r="BL97" s="110"/>
      <c r="BM97" s="110"/>
      <c r="BN97" s="110"/>
      <c r="BO97" s="110"/>
      <c r="BP97" s="110"/>
      <c r="BQ97" s="108"/>
      <c r="BR97" s="110"/>
    </row>
    <row r="98" spans="2:70" ht="13.5">
      <c r="B98" s="60"/>
      <c r="C98" s="60"/>
      <c r="D98" s="60"/>
      <c r="E98" s="71"/>
      <c r="F98" s="60"/>
      <c r="G98" s="60"/>
      <c r="H98" s="168"/>
      <c r="I98" s="60"/>
      <c r="J98" s="60"/>
      <c r="K98" s="60"/>
      <c r="L98" s="60"/>
      <c r="M98" s="60"/>
      <c r="N98" s="60"/>
      <c r="O98" s="60"/>
      <c r="P98" s="60"/>
      <c r="Q98" s="60"/>
      <c r="R98" s="60"/>
      <c r="S98" s="64"/>
      <c r="T98" s="65"/>
      <c r="U98" s="65"/>
      <c r="V98" s="6"/>
      <c r="W98" s="13"/>
      <c r="X98" s="114"/>
      <c r="Y98" s="114"/>
      <c r="Z98" s="114"/>
      <c r="AB98" s="114"/>
      <c r="AC98" s="114"/>
      <c r="AD98" s="114"/>
      <c r="AE98" s="114"/>
      <c r="AF98" s="114"/>
      <c r="AH98" s="148"/>
      <c r="AI98" s="114"/>
      <c r="AJ98" s="148"/>
      <c r="AK98" s="114"/>
      <c r="AL98" s="115"/>
      <c r="AM98" s="115"/>
      <c r="AN98" s="114"/>
      <c r="AO98" s="110"/>
      <c r="AP98" s="110"/>
      <c r="AQ98" s="110"/>
      <c r="AR98" s="108"/>
      <c r="AS98" s="108"/>
      <c r="AT98" s="108"/>
      <c r="AU98" s="108"/>
      <c r="AV98" s="108"/>
      <c r="AW98" s="108"/>
      <c r="AX98" s="108"/>
      <c r="AY98" s="108"/>
      <c r="AZ98" s="108"/>
      <c r="BA98" s="108"/>
      <c r="BB98" s="108"/>
      <c r="BC98" s="108"/>
      <c r="BD98" s="108"/>
      <c r="BE98" s="108"/>
      <c r="BF98" s="136"/>
      <c r="BG98" s="108"/>
      <c r="BH98" s="108"/>
      <c r="BI98" s="108"/>
      <c r="BJ98" s="108"/>
      <c r="BK98" s="108"/>
      <c r="BL98" s="108"/>
      <c r="BM98" s="108"/>
      <c r="BN98" s="108"/>
      <c r="BO98" s="108"/>
      <c r="BP98" s="108"/>
      <c r="BQ98" s="108"/>
      <c r="BR98" s="108"/>
    </row>
    <row r="99" spans="2:70" ht="13.5">
      <c r="B99" s="60"/>
      <c r="C99" s="60"/>
      <c r="D99" s="60"/>
      <c r="E99" s="71"/>
      <c r="F99" s="60"/>
      <c r="G99" s="60"/>
      <c r="H99" s="168"/>
      <c r="I99" s="60"/>
      <c r="J99" s="60"/>
      <c r="K99" s="60"/>
      <c r="L99" s="60"/>
      <c r="M99" s="60"/>
      <c r="N99" s="60"/>
      <c r="O99" s="60"/>
      <c r="P99" s="60"/>
      <c r="Q99" s="60"/>
      <c r="R99" s="60"/>
      <c r="S99" s="64"/>
      <c r="T99" s="65"/>
      <c r="U99" s="65"/>
      <c r="V99" s="6"/>
      <c r="W99" s="64"/>
      <c r="X99" s="114"/>
      <c r="Y99" s="114"/>
      <c r="Z99" s="114"/>
      <c r="AB99" s="114"/>
      <c r="AC99" s="114"/>
      <c r="AD99" s="114"/>
      <c r="AE99" s="114"/>
      <c r="AF99" s="114"/>
      <c r="AH99" s="148"/>
      <c r="AI99" s="114"/>
      <c r="AJ99" s="148"/>
      <c r="AK99" s="114"/>
      <c r="AL99" s="115"/>
      <c r="AM99" s="115"/>
      <c r="AN99" s="114"/>
      <c r="AO99" s="110"/>
      <c r="AP99" s="110"/>
      <c r="AQ99" s="110"/>
      <c r="AR99" s="108"/>
      <c r="AS99" s="108"/>
      <c r="AT99" s="108"/>
      <c r="AU99" s="108"/>
      <c r="AV99" s="108"/>
      <c r="AW99" s="108"/>
      <c r="AX99" s="108"/>
      <c r="AY99" s="108"/>
      <c r="AZ99" s="108"/>
      <c r="BA99" s="108"/>
      <c r="BB99" s="108"/>
      <c r="BC99" s="108"/>
      <c r="BD99" s="108"/>
      <c r="BE99" s="108"/>
      <c r="BF99" s="136"/>
      <c r="BG99" s="108"/>
      <c r="BH99" s="108"/>
      <c r="BI99" s="108"/>
      <c r="BJ99" s="108"/>
      <c r="BK99" s="108"/>
      <c r="BL99" s="108"/>
      <c r="BM99" s="108"/>
      <c r="BN99" s="108"/>
      <c r="BO99" s="108"/>
      <c r="BP99" s="108"/>
      <c r="BQ99" s="108"/>
      <c r="BR99" s="108"/>
    </row>
    <row r="100" spans="2:70" ht="13.5">
      <c r="B100" s="60"/>
      <c r="C100" s="60"/>
      <c r="D100" s="60"/>
      <c r="E100" s="71"/>
      <c r="F100" s="60"/>
      <c r="G100" s="60"/>
      <c r="H100" s="168"/>
      <c r="I100" s="60"/>
      <c r="J100" s="60"/>
      <c r="K100" s="60"/>
      <c r="L100" s="60"/>
      <c r="M100" s="60"/>
      <c r="N100" s="60"/>
      <c r="O100" s="60"/>
      <c r="P100" s="60"/>
      <c r="Q100" s="60"/>
      <c r="R100" s="60"/>
      <c r="S100" s="64"/>
      <c r="T100" s="65"/>
      <c r="U100" s="65"/>
      <c r="V100" s="6"/>
      <c r="W100" s="64"/>
      <c r="X100" s="114"/>
      <c r="Y100" s="114"/>
      <c r="Z100" s="114"/>
      <c r="AB100" s="114"/>
      <c r="AC100" s="114"/>
      <c r="AD100" s="114"/>
      <c r="AE100" s="114"/>
      <c r="AF100" s="114"/>
      <c r="AH100" s="148"/>
      <c r="AI100" s="114"/>
      <c r="AJ100" s="148"/>
      <c r="AK100" s="114"/>
      <c r="AL100" s="115"/>
      <c r="AM100" s="115"/>
      <c r="AN100" s="114"/>
      <c r="AO100" s="110"/>
      <c r="AP100" s="110"/>
      <c r="AQ100" s="110"/>
      <c r="AR100" s="108"/>
      <c r="AS100" s="108"/>
      <c r="AT100" s="108"/>
      <c r="AU100" s="108"/>
      <c r="AV100" s="108"/>
      <c r="AW100" s="108"/>
      <c r="AX100" s="108"/>
      <c r="AY100" s="108"/>
      <c r="AZ100" s="108"/>
      <c r="BA100" s="108"/>
      <c r="BB100" s="108"/>
      <c r="BC100" s="108"/>
      <c r="BD100" s="108"/>
      <c r="BE100" s="108"/>
      <c r="BF100" s="136"/>
      <c r="BG100" s="108"/>
      <c r="BH100" s="108"/>
      <c r="BI100" s="108"/>
      <c r="BJ100" s="108"/>
      <c r="BK100" s="108"/>
      <c r="BL100" s="108"/>
      <c r="BM100" s="108"/>
      <c r="BN100" s="108"/>
      <c r="BO100" s="108"/>
      <c r="BP100" s="108"/>
      <c r="BQ100" s="108"/>
      <c r="BR100" s="108"/>
    </row>
    <row r="101" spans="2:70" ht="13.5">
      <c r="B101" s="60"/>
      <c r="C101" s="60"/>
      <c r="D101" s="60"/>
      <c r="E101" s="71"/>
      <c r="F101" s="60"/>
      <c r="G101" s="60"/>
      <c r="H101" s="168"/>
      <c r="I101" s="60"/>
      <c r="J101" s="60"/>
      <c r="K101" s="60"/>
      <c r="L101" s="60"/>
      <c r="M101" s="60"/>
      <c r="N101" s="60"/>
      <c r="O101" s="60"/>
      <c r="P101" s="60"/>
      <c r="Q101" s="60"/>
      <c r="R101" s="60"/>
      <c r="S101" s="64"/>
      <c r="T101" s="65"/>
      <c r="U101" s="65"/>
      <c r="V101" s="6"/>
      <c r="W101" s="60"/>
      <c r="X101" s="114"/>
      <c r="Y101" s="114"/>
      <c r="Z101" s="114"/>
      <c r="AB101" s="114"/>
      <c r="AC101" s="114"/>
      <c r="AD101" s="114"/>
      <c r="AE101" s="114"/>
      <c r="AF101" s="114"/>
      <c r="AH101" s="148"/>
      <c r="AI101" s="114"/>
      <c r="AJ101" s="148"/>
      <c r="AK101" s="114"/>
      <c r="AL101" s="115"/>
      <c r="AM101" s="115"/>
      <c r="AN101" s="114"/>
      <c r="AO101" s="110"/>
      <c r="AP101" s="110"/>
      <c r="AQ101" s="110"/>
      <c r="AR101" s="108"/>
      <c r="AS101" s="108"/>
      <c r="AT101" s="108"/>
      <c r="AU101" s="108"/>
      <c r="AV101" s="108"/>
      <c r="AW101" s="108"/>
      <c r="AX101" s="108"/>
      <c r="AY101" s="108"/>
      <c r="AZ101" s="108"/>
      <c r="BA101" s="108"/>
      <c r="BB101" s="108"/>
      <c r="BC101" s="108"/>
      <c r="BD101" s="108"/>
      <c r="BE101" s="108"/>
      <c r="BF101" s="136"/>
      <c r="BG101" s="108"/>
      <c r="BH101" s="108"/>
      <c r="BI101" s="108"/>
      <c r="BJ101" s="108"/>
      <c r="BK101" s="108"/>
      <c r="BL101" s="108"/>
      <c r="BM101" s="108"/>
      <c r="BN101" s="108"/>
      <c r="BO101" s="108"/>
      <c r="BP101" s="108"/>
      <c r="BQ101" s="108"/>
      <c r="BR101" s="108"/>
    </row>
    <row r="102" spans="2:70" ht="13.5">
      <c r="B102" s="60"/>
      <c r="C102" s="60"/>
      <c r="D102" s="60"/>
      <c r="E102" s="71"/>
      <c r="F102" s="60"/>
      <c r="G102" s="60"/>
      <c r="H102" s="168"/>
      <c r="I102" s="60"/>
      <c r="J102" s="60"/>
      <c r="K102" s="60"/>
      <c r="L102" s="60"/>
      <c r="M102" s="60"/>
      <c r="N102" s="60"/>
      <c r="O102" s="60"/>
      <c r="P102" s="60"/>
      <c r="Q102" s="60"/>
      <c r="R102" s="60"/>
      <c r="S102" s="64"/>
      <c r="T102" s="65"/>
      <c r="U102" s="65"/>
      <c r="V102" s="6"/>
      <c r="W102" s="60"/>
      <c r="X102" s="114"/>
      <c r="Y102" s="114"/>
      <c r="Z102" s="114"/>
      <c r="AB102" s="114"/>
      <c r="AC102" s="114"/>
      <c r="AD102" s="114"/>
      <c r="AE102" s="114"/>
      <c r="AF102" s="114"/>
      <c r="AH102" s="148"/>
      <c r="AI102" s="114"/>
      <c r="AJ102" s="148"/>
      <c r="AK102" s="114"/>
      <c r="AL102" s="115"/>
      <c r="AM102" s="115"/>
      <c r="AN102" s="114"/>
      <c r="AO102" s="110"/>
      <c r="AP102" s="110"/>
      <c r="AQ102" s="110"/>
      <c r="AR102" s="108"/>
      <c r="AS102" s="108"/>
      <c r="AT102" s="108"/>
      <c r="AU102" s="108"/>
      <c r="AV102" s="108"/>
      <c r="AW102" s="108"/>
      <c r="AX102" s="108"/>
      <c r="AY102" s="108"/>
      <c r="AZ102" s="108"/>
      <c r="BA102" s="108"/>
      <c r="BB102" s="108"/>
      <c r="BC102" s="108"/>
      <c r="BD102" s="108"/>
      <c r="BE102" s="108"/>
      <c r="BF102" s="136"/>
      <c r="BG102" s="108"/>
      <c r="BH102" s="108"/>
      <c r="BI102" s="108"/>
      <c r="BJ102" s="108"/>
      <c r="BK102" s="108"/>
      <c r="BL102" s="108"/>
      <c r="BM102" s="108"/>
      <c r="BN102" s="108"/>
      <c r="BO102" s="108"/>
      <c r="BP102" s="108"/>
      <c r="BQ102" s="108"/>
      <c r="BR102" s="108"/>
    </row>
    <row r="103" spans="2:70" ht="13.5">
      <c r="B103" s="60"/>
      <c r="C103" s="60"/>
      <c r="D103" s="60"/>
      <c r="E103" s="71"/>
      <c r="F103" s="60"/>
      <c r="G103" s="60"/>
      <c r="H103" s="168"/>
      <c r="I103" s="60"/>
      <c r="J103" s="60"/>
      <c r="K103" s="60"/>
      <c r="L103" s="60"/>
      <c r="M103" s="60"/>
      <c r="N103" s="60"/>
      <c r="O103" s="60"/>
      <c r="P103" s="60"/>
      <c r="Q103" s="60"/>
      <c r="R103" s="60"/>
      <c r="S103" s="64"/>
      <c r="T103" s="65"/>
      <c r="U103" s="65"/>
      <c r="V103" s="6"/>
      <c r="W103" s="60"/>
      <c r="X103" s="114"/>
      <c r="Y103" s="114"/>
      <c r="Z103" s="114"/>
      <c r="AB103" s="114"/>
      <c r="AC103" s="114"/>
      <c r="AD103" s="114"/>
      <c r="AE103" s="114"/>
      <c r="AF103" s="114"/>
      <c r="AH103" s="148"/>
      <c r="AI103" s="114"/>
      <c r="AJ103" s="148"/>
      <c r="AK103" s="114"/>
      <c r="AL103" s="115"/>
      <c r="AM103" s="115"/>
      <c r="AN103" s="114"/>
      <c r="AO103" s="110"/>
      <c r="AP103" s="110"/>
      <c r="AQ103" s="110"/>
      <c r="AR103" s="108"/>
      <c r="AS103" s="108"/>
      <c r="AT103" s="108"/>
      <c r="AU103" s="108"/>
      <c r="AV103" s="108"/>
      <c r="AW103" s="108"/>
      <c r="AX103" s="108"/>
      <c r="AY103" s="108"/>
      <c r="AZ103" s="108"/>
      <c r="BA103" s="108"/>
      <c r="BB103" s="108"/>
      <c r="BC103" s="108"/>
      <c r="BD103" s="108"/>
      <c r="BE103" s="108"/>
      <c r="BF103" s="136"/>
      <c r="BG103" s="108"/>
      <c r="BH103" s="108"/>
      <c r="BI103" s="108"/>
      <c r="BJ103" s="108"/>
      <c r="BK103" s="108"/>
      <c r="BL103" s="108"/>
      <c r="BM103" s="108"/>
      <c r="BN103" s="108"/>
      <c r="BO103" s="108"/>
      <c r="BP103" s="108"/>
      <c r="BQ103" s="108"/>
      <c r="BR103" s="108"/>
    </row>
    <row r="104" spans="2:70" ht="13.5">
      <c r="B104" s="5"/>
      <c r="C104" s="5"/>
      <c r="D104" s="5"/>
      <c r="E104" s="9"/>
      <c r="F104" s="5"/>
      <c r="G104" s="5"/>
      <c r="H104" s="167"/>
      <c r="I104" s="5"/>
      <c r="J104" s="5"/>
      <c r="K104" s="60"/>
      <c r="L104" s="60"/>
      <c r="M104" s="60"/>
      <c r="N104" s="60"/>
      <c r="O104" s="60"/>
      <c r="P104" s="60"/>
      <c r="Q104" s="60"/>
      <c r="R104" s="60"/>
      <c r="S104" s="64"/>
      <c r="T104" s="65"/>
      <c r="U104" s="65"/>
      <c r="V104" s="6"/>
      <c r="W104" s="60"/>
      <c r="X104" s="114"/>
      <c r="Y104" s="114"/>
      <c r="Z104" s="114"/>
      <c r="AB104" s="114"/>
      <c r="AC104" s="114"/>
      <c r="AD104" s="114"/>
      <c r="AE104" s="114"/>
      <c r="AF104" s="114"/>
      <c r="AH104" s="148"/>
      <c r="AI104" s="114"/>
      <c r="AJ104" s="148"/>
      <c r="AK104" s="114"/>
      <c r="AL104" s="115"/>
      <c r="AM104" s="115"/>
      <c r="AN104" s="114"/>
      <c r="AO104" s="110"/>
      <c r="AP104" s="110"/>
      <c r="AQ104" s="110"/>
      <c r="AR104" s="108"/>
      <c r="AS104" s="108"/>
      <c r="AT104" s="108"/>
      <c r="AU104" s="108"/>
      <c r="AV104" s="108"/>
      <c r="AW104" s="108"/>
      <c r="AX104" s="108"/>
      <c r="AY104" s="108"/>
      <c r="AZ104" s="108"/>
      <c r="BA104" s="108"/>
      <c r="BB104" s="108"/>
      <c r="BC104" s="108"/>
      <c r="BD104" s="108"/>
      <c r="BE104" s="108"/>
      <c r="BF104" s="136"/>
      <c r="BG104" s="108"/>
      <c r="BH104" s="108"/>
      <c r="BI104" s="108"/>
      <c r="BJ104" s="108"/>
      <c r="BK104" s="108"/>
      <c r="BL104" s="108"/>
      <c r="BM104" s="108"/>
      <c r="BN104" s="108"/>
      <c r="BO104" s="108"/>
      <c r="BP104" s="108"/>
      <c r="BQ104" s="108"/>
      <c r="BR104" s="108"/>
    </row>
    <row r="105" spans="2:70" ht="13.5">
      <c r="B105" s="5"/>
      <c r="C105" s="5"/>
      <c r="D105" s="5"/>
      <c r="E105" s="9"/>
      <c r="F105" s="5"/>
      <c r="G105" s="5"/>
      <c r="H105" s="167"/>
      <c r="I105" s="5"/>
      <c r="J105" s="5"/>
      <c r="K105" s="27"/>
      <c r="L105" s="5"/>
      <c r="M105" s="5"/>
      <c r="N105" s="5"/>
      <c r="O105" s="5"/>
      <c r="P105" s="5"/>
      <c r="Q105" s="5"/>
      <c r="R105" s="5"/>
      <c r="S105" s="2"/>
      <c r="T105" s="10"/>
      <c r="U105" s="10"/>
      <c r="V105" s="5"/>
      <c r="W105" s="5"/>
      <c r="X105" s="32"/>
      <c r="Y105" s="32"/>
      <c r="Z105" s="32"/>
      <c r="AB105" s="149"/>
      <c r="AC105" s="149"/>
      <c r="AD105" s="149"/>
      <c r="AE105" s="149"/>
      <c r="AF105" s="149"/>
      <c r="AH105" s="149"/>
      <c r="AI105" s="149"/>
      <c r="AJ105" s="149"/>
      <c r="AK105" s="32"/>
      <c r="AL105" s="135"/>
      <c r="AM105" s="135"/>
      <c r="AN105" s="32"/>
      <c r="AO105" s="110"/>
      <c r="AP105" s="110"/>
      <c r="AQ105" s="110"/>
      <c r="AR105" s="108"/>
      <c r="AS105" s="108"/>
      <c r="AT105" s="108"/>
      <c r="AU105" s="108"/>
      <c r="AV105" s="108"/>
      <c r="AW105" s="108"/>
      <c r="AX105" s="108"/>
      <c r="AY105" s="108"/>
      <c r="AZ105" s="108"/>
      <c r="BA105" s="108"/>
      <c r="BB105" s="108"/>
      <c r="BC105" s="108"/>
      <c r="BD105" s="108"/>
      <c r="BE105" s="108"/>
      <c r="BF105" s="136"/>
      <c r="BG105" s="108"/>
      <c r="BH105" s="108"/>
      <c r="BI105" s="108"/>
      <c r="BJ105" s="108"/>
      <c r="BK105" s="108"/>
      <c r="BL105" s="108"/>
      <c r="BM105" s="108"/>
      <c r="BN105" s="108"/>
      <c r="BO105" s="108"/>
      <c r="BP105" s="108"/>
      <c r="BQ105" s="108"/>
      <c r="BR105" s="108"/>
    </row>
    <row r="106" spans="2:70" ht="13.5">
      <c r="B106" s="5"/>
      <c r="C106" s="5"/>
      <c r="D106" s="5"/>
      <c r="E106" s="9"/>
      <c r="F106" s="5"/>
      <c r="G106" s="5"/>
      <c r="H106" s="167"/>
      <c r="I106" s="5"/>
      <c r="J106" s="5"/>
      <c r="K106" s="27"/>
      <c r="L106" s="5"/>
      <c r="M106" s="5"/>
      <c r="N106" s="5"/>
      <c r="O106" s="5"/>
      <c r="P106" s="5"/>
      <c r="Q106" s="5"/>
      <c r="R106" s="5"/>
      <c r="S106" s="2"/>
      <c r="T106" s="10"/>
      <c r="U106" s="10"/>
      <c r="V106" s="5"/>
      <c r="W106" s="5"/>
      <c r="X106" s="32"/>
      <c r="Y106" s="32"/>
      <c r="Z106" s="32"/>
      <c r="AB106" s="149"/>
      <c r="AC106" s="149"/>
      <c r="AD106" s="149"/>
      <c r="AE106" s="149"/>
      <c r="AF106" s="149"/>
      <c r="AH106" s="149"/>
      <c r="AI106" s="149"/>
      <c r="AJ106" s="149"/>
      <c r="AK106" s="32"/>
      <c r="AL106" s="135"/>
      <c r="AM106" s="135"/>
      <c r="AN106" s="32"/>
      <c r="AO106" s="110"/>
      <c r="AP106" s="110"/>
      <c r="AQ106" s="110"/>
      <c r="AR106" s="108"/>
      <c r="AS106" s="108"/>
      <c r="AT106" s="108"/>
      <c r="AU106" s="108"/>
      <c r="AV106" s="108"/>
      <c r="AW106" s="108"/>
      <c r="AX106" s="108"/>
      <c r="AY106" s="108"/>
      <c r="AZ106" s="108"/>
      <c r="BA106" s="108"/>
      <c r="BB106" s="108"/>
      <c r="BC106" s="108"/>
      <c r="BD106" s="108"/>
      <c r="BE106" s="108"/>
      <c r="BF106" s="136"/>
      <c r="BG106" s="108"/>
      <c r="BH106" s="108"/>
      <c r="BI106" s="108"/>
      <c r="BJ106" s="108"/>
      <c r="BK106" s="108"/>
      <c r="BL106" s="108"/>
      <c r="BM106" s="108"/>
      <c r="BN106" s="108"/>
      <c r="BO106" s="108"/>
      <c r="BP106" s="108"/>
      <c r="BQ106" s="108"/>
      <c r="BR106" s="108"/>
    </row>
    <row r="107" spans="2:70" ht="13.5">
      <c r="B107" s="5"/>
      <c r="C107" s="5"/>
      <c r="D107" s="5"/>
      <c r="E107" s="9"/>
      <c r="F107" s="5"/>
      <c r="G107" s="5"/>
      <c r="H107" s="167"/>
      <c r="I107" s="5"/>
      <c r="J107" s="5"/>
      <c r="K107" s="27"/>
      <c r="L107" s="5"/>
      <c r="M107" s="5"/>
      <c r="N107" s="5"/>
      <c r="O107" s="5"/>
      <c r="P107" s="5"/>
      <c r="Q107" s="5"/>
      <c r="R107" s="5"/>
      <c r="S107" s="2"/>
      <c r="T107" s="10"/>
      <c r="U107" s="10"/>
      <c r="V107" s="6"/>
      <c r="W107" s="6"/>
      <c r="X107" s="32"/>
      <c r="Y107" s="32"/>
      <c r="Z107" s="32"/>
      <c r="AB107" s="149"/>
      <c r="AC107" s="149"/>
      <c r="AD107" s="149"/>
      <c r="AE107" s="149"/>
      <c r="AF107" s="149"/>
      <c r="AG107" s="138">
        <f>IF(D88&gt;I88,E88,IF(I88&gt;D88,H88,""))</f>
      </c>
      <c r="AH107" s="149"/>
      <c r="AI107" s="149"/>
      <c r="AJ107" s="149"/>
      <c r="AK107" s="32"/>
      <c r="AL107" s="150"/>
      <c r="AM107" s="151"/>
      <c r="AN107" s="32"/>
      <c r="AO107" s="110"/>
      <c r="AP107" s="110"/>
      <c r="AQ107" s="110"/>
      <c r="AR107" s="108"/>
      <c r="AS107" s="108"/>
      <c r="AT107" s="108"/>
      <c r="AU107" s="108"/>
      <c r="AV107" s="108"/>
      <c r="AW107" s="108"/>
      <c r="AX107" s="108"/>
      <c r="AY107" s="108"/>
      <c r="AZ107" s="108"/>
      <c r="BA107" s="108"/>
      <c r="BB107" s="108"/>
      <c r="BC107" s="108"/>
      <c r="BD107" s="108"/>
      <c r="BE107" s="108"/>
      <c r="BF107" s="136"/>
      <c r="BG107" s="108"/>
      <c r="BH107" s="108"/>
      <c r="BI107" s="108"/>
      <c r="BJ107" s="108"/>
      <c r="BK107" s="108"/>
      <c r="BL107" s="108"/>
      <c r="BM107" s="108"/>
      <c r="BN107" s="108"/>
      <c r="BO107" s="108"/>
      <c r="BP107" s="108"/>
      <c r="BQ107" s="108"/>
      <c r="BR107" s="108"/>
    </row>
    <row r="108" spans="2:70" ht="13.5">
      <c r="B108" s="5"/>
      <c r="C108" s="5"/>
      <c r="D108" s="5"/>
      <c r="E108" s="9"/>
      <c r="F108" s="5"/>
      <c r="G108" s="5"/>
      <c r="H108" s="167"/>
      <c r="I108" s="5"/>
      <c r="J108" s="5"/>
      <c r="K108" s="27"/>
      <c r="L108" s="5"/>
      <c r="M108" s="5"/>
      <c r="N108" s="5"/>
      <c r="O108" s="5"/>
      <c r="P108" s="5"/>
      <c r="Q108" s="5"/>
      <c r="R108" s="5"/>
      <c r="S108" s="2"/>
      <c r="T108" s="10"/>
      <c r="U108" s="10"/>
      <c r="V108" s="6"/>
      <c r="W108" s="6"/>
      <c r="X108" s="32"/>
      <c r="Y108" s="32"/>
      <c r="Z108" s="32"/>
      <c r="AB108" s="149"/>
      <c r="AC108" s="149"/>
      <c r="AD108" s="149"/>
      <c r="AE108" s="149"/>
      <c r="AF108" s="149"/>
      <c r="AG108" s="138"/>
      <c r="AH108" s="149"/>
      <c r="AI108" s="149"/>
      <c r="AJ108" s="149"/>
      <c r="AK108" s="32"/>
      <c r="AL108" s="150"/>
      <c r="AM108" s="151"/>
      <c r="AN108" s="32"/>
      <c r="AO108" s="110"/>
      <c r="AP108" s="110"/>
      <c r="AQ108" s="110"/>
      <c r="AR108" s="108"/>
      <c r="AS108" s="108"/>
      <c r="AT108" s="108"/>
      <c r="AU108" s="108"/>
      <c r="AV108" s="108"/>
      <c r="AW108" s="108"/>
      <c r="AX108" s="108"/>
      <c r="AY108" s="108"/>
      <c r="AZ108" s="108"/>
      <c r="BA108" s="108"/>
      <c r="BB108" s="108"/>
      <c r="BC108" s="108"/>
      <c r="BD108" s="108"/>
      <c r="BE108" s="108"/>
      <c r="BF108" s="136"/>
      <c r="BG108" s="108"/>
      <c r="BH108" s="108"/>
      <c r="BI108" s="108"/>
      <c r="BJ108" s="108"/>
      <c r="BK108" s="108"/>
      <c r="BL108" s="108"/>
      <c r="BM108" s="108"/>
      <c r="BN108" s="108"/>
      <c r="BO108" s="108"/>
      <c r="BP108" s="108"/>
      <c r="BQ108" s="108"/>
      <c r="BR108" s="108"/>
    </row>
    <row r="109" spans="2:70" ht="13.5">
      <c r="B109" s="5"/>
      <c r="C109" s="5"/>
      <c r="D109" s="5"/>
      <c r="E109" s="9"/>
      <c r="F109" s="5"/>
      <c r="G109" s="5"/>
      <c r="H109" s="167"/>
      <c r="I109" s="5"/>
      <c r="J109" s="5"/>
      <c r="K109" s="27"/>
      <c r="L109" s="5"/>
      <c r="M109" s="5"/>
      <c r="N109" s="5"/>
      <c r="O109" s="5"/>
      <c r="P109" s="5"/>
      <c r="Q109" s="5"/>
      <c r="R109" s="5"/>
      <c r="S109" s="2"/>
      <c r="T109" s="10"/>
      <c r="U109" s="10"/>
      <c r="V109" s="6"/>
      <c r="W109" s="6"/>
      <c r="X109" s="32"/>
      <c r="Y109" s="32"/>
      <c r="Z109" s="32"/>
      <c r="AB109" s="149"/>
      <c r="AC109" s="149"/>
      <c r="AD109" s="149"/>
      <c r="AE109" s="149"/>
      <c r="AF109" s="149"/>
      <c r="AH109" s="149"/>
      <c r="AI109" s="149"/>
      <c r="AJ109" s="149"/>
      <c r="AK109" s="32"/>
      <c r="AL109" s="150"/>
      <c r="AM109" s="151"/>
      <c r="AN109" s="32"/>
      <c r="AO109" s="110"/>
      <c r="AP109" s="110"/>
      <c r="AQ109" s="110"/>
      <c r="AR109" s="108"/>
      <c r="AS109" s="108"/>
      <c r="AT109" s="108"/>
      <c r="AU109" s="108"/>
      <c r="AV109" s="108"/>
      <c r="AW109" s="108"/>
      <c r="AX109" s="108"/>
      <c r="AY109" s="108"/>
      <c r="AZ109" s="108"/>
      <c r="BA109" s="108"/>
      <c r="BB109" s="108"/>
      <c r="BC109" s="108"/>
      <c r="BD109" s="108"/>
      <c r="BE109" s="108"/>
      <c r="BF109" s="136"/>
      <c r="BG109" s="108"/>
      <c r="BH109" s="108"/>
      <c r="BI109" s="108"/>
      <c r="BJ109" s="108"/>
      <c r="BK109" s="108"/>
      <c r="BL109" s="108"/>
      <c r="BM109" s="108"/>
      <c r="BN109" s="108"/>
      <c r="BO109" s="108"/>
      <c r="BP109" s="108"/>
      <c r="BQ109" s="108"/>
      <c r="BR109" s="108"/>
    </row>
    <row r="110" spans="2:70" ht="13.5">
      <c r="B110" s="60"/>
      <c r="C110" s="60"/>
      <c r="D110" s="60"/>
      <c r="E110" s="71"/>
      <c r="F110" s="60"/>
      <c r="G110" s="60"/>
      <c r="H110" s="168"/>
      <c r="I110" s="60"/>
      <c r="J110" s="60"/>
      <c r="K110" s="66"/>
      <c r="L110" s="60"/>
      <c r="M110" s="60"/>
      <c r="N110" s="60"/>
      <c r="O110" s="60"/>
      <c r="P110" s="60"/>
      <c r="Q110" s="60"/>
      <c r="R110" s="60"/>
      <c r="S110" s="64"/>
      <c r="T110" s="65"/>
      <c r="U110" s="65"/>
      <c r="V110" s="63"/>
      <c r="W110" s="63"/>
      <c r="X110" s="114"/>
      <c r="Y110" s="114"/>
      <c r="Z110" s="114"/>
      <c r="AB110" s="148"/>
      <c r="AC110" s="148"/>
      <c r="AD110" s="148"/>
      <c r="AE110" s="148"/>
      <c r="AF110" s="148"/>
      <c r="AH110" s="148"/>
      <c r="AI110" s="148"/>
      <c r="AJ110" s="148"/>
      <c r="AK110" s="114"/>
      <c r="AL110" s="152"/>
      <c r="AM110" s="153"/>
      <c r="AN110" s="114"/>
      <c r="AO110" s="110"/>
      <c r="AP110" s="110"/>
      <c r="AQ110" s="110"/>
      <c r="AR110" s="108"/>
      <c r="AS110" s="108"/>
      <c r="AT110" s="108"/>
      <c r="AU110" s="108"/>
      <c r="AV110" s="108"/>
      <c r="AW110" s="108"/>
      <c r="AX110" s="108"/>
      <c r="AY110" s="108"/>
      <c r="AZ110" s="108"/>
      <c r="BA110" s="108"/>
      <c r="BB110" s="108"/>
      <c r="BC110" s="108"/>
      <c r="BD110" s="108"/>
      <c r="BE110" s="108"/>
      <c r="BF110" s="136"/>
      <c r="BG110" s="108"/>
      <c r="BH110" s="108"/>
      <c r="BI110" s="108"/>
      <c r="BJ110" s="108"/>
      <c r="BK110" s="108"/>
      <c r="BL110" s="108"/>
      <c r="BM110" s="108"/>
      <c r="BN110" s="108"/>
      <c r="BO110" s="108"/>
      <c r="BP110" s="108"/>
      <c r="BQ110" s="108"/>
      <c r="BR110" s="108"/>
    </row>
    <row r="111" spans="2:70" ht="13.5">
      <c r="B111" s="60"/>
      <c r="C111" s="60"/>
      <c r="D111" s="60"/>
      <c r="E111" s="71"/>
      <c r="F111" s="60"/>
      <c r="G111" s="60"/>
      <c r="H111" s="168"/>
      <c r="I111" s="60"/>
      <c r="J111" s="60"/>
      <c r="K111" s="13"/>
      <c r="L111" s="60"/>
      <c r="M111" s="60"/>
      <c r="N111" s="60"/>
      <c r="O111" s="60"/>
      <c r="P111" s="60"/>
      <c r="Q111" s="60"/>
      <c r="R111" s="60"/>
      <c r="S111" s="64"/>
      <c r="T111" s="65"/>
      <c r="U111" s="65"/>
      <c r="V111" s="63"/>
      <c r="W111" s="63"/>
      <c r="X111" s="114"/>
      <c r="Y111" s="114"/>
      <c r="Z111" s="114"/>
      <c r="AB111" s="148"/>
      <c r="AC111" s="148"/>
      <c r="AD111" s="148"/>
      <c r="AE111" s="148"/>
      <c r="AF111" s="148"/>
      <c r="AH111" s="148"/>
      <c r="AI111" s="148"/>
      <c r="AJ111" s="148"/>
      <c r="AK111" s="114"/>
      <c r="AL111" s="152"/>
      <c r="AM111" s="153"/>
      <c r="AN111" s="114"/>
      <c r="AO111" s="110"/>
      <c r="AP111" s="110"/>
      <c r="AQ111" s="110"/>
      <c r="AR111" s="108"/>
      <c r="AS111" s="108"/>
      <c r="AT111" s="108"/>
      <c r="AU111" s="108"/>
      <c r="AV111" s="108"/>
      <c r="AW111" s="108"/>
      <c r="AX111" s="108"/>
      <c r="AY111" s="108"/>
      <c r="AZ111" s="108"/>
      <c r="BA111" s="108"/>
      <c r="BB111" s="108"/>
      <c r="BC111" s="108"/>
      <c r="BD111" s="108"/>
      <c r="BE111" s="108"/>
      <c r="BF111" s="136"/>
      <c r="BG111" s="108"/>
      <c r="BH111" s="108"/>
      <c r="BI111" s="108"/>
      <c r="BJ111" s="108"/>
      <c r="BK111" s="108"/>
      <c r="BL111" s="108"/>
      <c r="BM111" s="108"/>
      <c r="BN111" s="108"/>
      <c r="BO111" s="108"/>
      <c r="BP111" s="108"/>
      <c r="BQ111" s="108"/>
      <c r="BR111" s="108"/>
    </row>
    <row r="112" spans="2:70" ht="13.5">
      <c r="B112" s="60"/>
      <c r="C112" s="60"/>
      <c r="D112" s="60"/>
      <c r="E112" s="71"/>
      <c r="F112" s="60"/>
      <c r="G112" s="60"/>
      <c r="H112" s="168"/>
      <c r="I112" s="60"/>
      <c r="J112" s="60"/>
      <c r="K112" s="13"/>
      <c r="L112" s="60"/>
      <c r="M112" s="60"/>
      <c r="N112" s="60"/>
      <c r="O112" s="60"/>
      <c r="P112" s="60"/>
      <c r="Q112" s="60"/>
      <c r="R112" s="60"/>
      <c r="S112" s="64"/>
      <c r="T112" s="65"/>
      <c r="U112" s="65"/>
      <c r="V112" s="63"/>
      <c r="W112" s="63"/>
      <c r="X112" s="114"/>
      <c r="Y112" s="114"/>
      <c r="Z112" s="114"/>
      <c r="AB112" s="148"/>
      <c r="AC112" s="148"/>
      <c r="AD112" s="148"/>
      <c r="AE112" s="148"/>
      <c r="AF112" s="148"/>
      <c r="AG112" s="138"/>
      <c r="AH112" s="148"/>
      <c r="AI112" s="148"/>
      <c r="AJ112" s="148"/>
      <c r="AK112" s="114"/>
      <c r="AL112" s="152"/>
      <c r="AM112" s="153"/>
      <c r="AN112" s="114"/>
      <c r="AO112" s="110"/>
      <c r="AP112" s="110"/>
      <c r="AQ112" s="110"/>
      <c r="AR112" s="108"/>
      <c r="AS112" s="108"/>
      <c r="AT112" s="108"/>
      <c r="AU112" s="108"/>
      <c r="AV112" s="108"/>
      <c r="AW112" s="108"/>
      <c r="AX112" s="108"/>
      <c r="AY112" s="108"/>
      <c r="AZ112" s="108"/>
      <c r="BA112" s="108"/>
      <c r="BB112" s="108"/>
      <c r="BC112" s="108"/>
      <c r="BD112" s="108"/>
      <c r="BE112" s="108"/>
      <c r="BF112" s="136"/>
      <c r="BG112" s="108"/>
      <c r="BH112" s="108"/>
      <c r="BI112" s="108"/>
      <c r="BJ112" s="108"/>
      <c r="BK112" s="108"/>
      <c r="BL112" s="108"/>
      <c r="BM112" s="108"/>
      <c r="BN112" s="108"/>
      <c r="BO112" s="108"/>
      <c r="BP112" s="108"/>
      <c r="BQ112" s="108"/>
      <c r="BR112" s="108"/>
    </row>
    <row r="113" spans="2:70" ht="13.5">
      <c r="B113" s="67"/>
      <c r="C113" s="68"/>
      <c r="D113" s="11"/>
      <c r="E113" s="3"/>
      <c r="F113" s="4"/>
      <c r="G113" s="4"/>
      <c r="H113" s="167"/>
      <c r="I113" s="4"/>
      <c r="J113" s="4"/>
      <c r="K113" s="66"/>
      <c r="L113" s="60"/>
      <c r="M113" s="60"/>
      <c r="N113" s="60"/>
      <c r="O113" s="60"/>
      <c r="P113" s="60"/>
      <c r="Q113" s="60"/>
      <c r="R113" s="60"/>
      <c r="S113" s="64"/>
      <c r="T113" s="65"/>
      <c r="U113" s="65"/>
      <c r="V113" s="63"/>
      <c r="W113" s="63"/>
      <c r="X113" s="114"/>
      <c r="Y113" s="114"/>
      <c r="Z113" s="114"/>
      <c r="AB113" s="148"/>
      <c r="AC113" s="148"/>
      <c r="AD113" s="148"/>
      <c r="AE113" s="148"/>
      <c r="AF113" s="148"/>
      <c r="AG113" s="138"/>
      <c r="AH113" s="148"/>
      <c r="AI113" s="148"/>
      <c r="AJ113" s="148"/>
      <c r="AK113" s="114"/>
      <c r="AL113" s="152"/>
      <c r="AM113" s="153"/>
      <c r="AN113" s="114"/>
      <c r="AO113" s="110"/>
      <c r="AP113" s="110"/>
      <c r="AQ113" s="110"/>
      <c r="AR113" s="108"/>
      <c r="AS113" s="108"/>
      <c r="AT113" s="108"/>
      <c r="AU113" s="108"/>
      <c r="AV113" s="108"/>
      <c r="AW113" s="108"/>
      <c r="AX113" s="108"/>
      <c r="AY113" s="108"/>
      <c r="AZ113" s="108"/>
      <c r="BA113" s="108"/>
      <c r="BB113" s="108"/>
      <c r="BC113" s="108"/>
      <c r="BD113" s="108"/>
      <c r="BE113" s="108"/>
      <c r="BF113" s="136"/>
      <c r="BG113" s="108"/>
      <c r="BH113" s="108"/>
      <c r="BI113" s="108"/>
      <c r="BJ113" s="108"/>
      <c r="BK113" s="108"/>
      <c r="BL113" s="108"/>
      <c r="BM113" s="108"/>
      <c r="BN113" s="108"/>
      <c r="BO113" s="108"/>
      <c r="BP113" s="108"/>
      <c r="BQ113" s="108"/>
      <c r="BR113" s="108"/>
    </row>
    <row r="114" spans="2:70" ht="13.5">
      <c r="B114" s="67"/>
      <c r="C114" s="68"/>
      <c r="D114" s="11"/>
      <c r="E114" s="3"/>
      <c r="F114" s="4"/>
      <c r="G114" s="4"/>
      <c r="H114" s="167"/>
      <c r="I114" s="4"/>
      <c r="J114" s="4"/>
      <c r="K114" s="11"/>
      <c r="L114" s="5"/>
      <c r="M114" s="5"/>
      <c r="N114" s="5"/>
      <c r="O114" s="5"/>
      <c r="P114" s="5"/>
      <c r="Q114" s="5"/>
      <c r="R114" s="5"/>
      <c r="S114" s="2"/>
      <c r="T114" s="10"/>
      <c r="U114" s="10"/>
      <c r="V114" s="19"/>
      <c r="W114" s="69"/>
      <c r="X114" s="32"/>
      <c r="Y114" s="32"/>
      <c r="Z114" s="32"/>
      <c r="AA114" s="149"/>
      <c r="AB114" s="149"/>
      <c r="AC114" s="149"/>
      <c r="AD114" s="149"/>
      <c r="AE114" s="149"/>
      <c r="AF114" s="149"/>
      <c r="AG114" s="149"/>
      <c r="AH114" s="149"/>
      <c r="AI114" s="149"/>
      <c r="AJ114" s="149"/>
      <c r="AK114" s="32"/>
      <c r="AL114" s="150"/>
      <c r="AM114" s="151"/>
      <c r="AN114" s="32"/>
      <c r="AO114" s="110"/>
      <c r="AP114" s="110"/>
      <c r="AQ114" s="110"/>
      <c r="AR114" s="108"/>
      <c r="AS114" s="108"/>
      <c r="AT114" s="108"/>
      <c r="AU114" s="108"/>
      <c r="AV114" s="108"/>
      <c r="AW114" s="108"/>
      <c r="AX114" s="108"/>
      <c r="AY114" s="108"/>
      <c r="AZ114" s="108"/>
      <c r="BA114" s="108"/>
      <c r="BB114" s="108"/>
      <c r="BC114" s="108"/>
      <c r="BD114" s="108"/>
      <c r="BE114" s="108"/>
      <c r="BF114" s="136"/>
      <c r="BG114" s="108"/>
      <c r="BH114" s="108"/>
      <c r="BI114" s="108"/>
      <c r="BJ114" s="108"/>
      <c r="BK114" s="108"/>
      <c r="BL114" s="108"/>
      <c r="BM114" s="108"/>
      <c r="BN114" s="108"/>
      <c r="BO114" s="108"/>
      <c r="BP114" s="108"/>
      <c r="BQ114" s="108"/>
      <c r="BR114" s="108"/>
    </row>
    <row r="115" spans="2:70" ht="13.5">
      <c r="B115" s="67"/>
      <c r="C115" s="68"/>
      <c r="D115" s="11"/>
      <c r="E115" s="3"/>
      <c r="F115" s="4"/>
      <c r="G115" s="4"/>
      <c r="H115" s="167"/>
      <c r="I115" s="4"/>
      <c r="J115" s="4"/>
      <c r="K115" s="11"/>
      <c r="L115" s="5"/>
      <c r="M115" s="5"/>
      <c r="N115" s="5"/>
      <c r="O115" s="5"/>
      <c r="P115" s="5"/>
      <c r="Q115" s="5"/>
      <c r="R115" s="5"/>
      <c r="S115" s="4"/>
      <c r="T115" s="6"/>
      <c r="U115" s="6"/>
      <c r="V115" s="5"/>
      <c r="W115" s="11"/>
      <c r="X115" s="32"/>
      <c r="Y115" s="32"/>
      <c r="Z115" s="32"/>
      <c r="AA115" s="154"/>
      <c r="AB115" s="154"/>
      <c r="AC115" s="154"/>
      <c r="AD115" s="154"/>
      <c r="AE115" s="154"/>
      <c r="AF115" s="154"/>
      <c r="AG115" s="154"/>
      <c r="AH115" s="154"/>
      <c r="AI115" s="154"/>
      <c r="AJ115" s="154"/>
      <c r="AK115" s="32"/>
      <c r="AL115" s="135"/>
      <c r="AM115" s="135"/>
      <c r="AN115" s="32"/>
      <c r="AO115" s="110"/>
      <c r="AP115" s="110"/>
      <c r="AQ115" s="110"/>
      <c r="AR115" s="108"/>
      <c r="AS115" s="108"/>
      <c r="AT115" s="108"/>
      <c r="AU115" s="108"/>
      <c r="AV115" s="108"/>
      <c r="AW115" s="108"/>
      <c r="AX115" s="108"/>
      <c r="AY115" s="108"/>
      <c r="AZ115" s="108"/>
      <c r="BA115" s="108"/>
      <c r="BB115" s="108"/>
      <c r="BC115" s="108"/>
      <c r="BD115" s="108"/>
      <c r="BE115" s="108"/>
      <c r="BF115" s="136"/>
      <c r="BG115" s="108"/>
      <c r="BH115" s="108"/>
      <c r="BI115" s="108"/>
      <c r="BJ115" s="108"/>
      <c r="BK115" s="108"/>
      <c r="BL115" s="108"/>
      <c r="BM115" s="108"/>
      <c r="BN115" s="108"/>
      <c r="BO115" s="108"/>
      <c r="BP115" s="108"/>
      <c r="BQ115" s="108"/>
      <c r="BR115" s="108"/>
    </row>
    <row r="116" spans="2:70" ht="13.5">
      <c r="B116" s="67"/>
      <c r="C116" s="68"/>
      <c r="D116" s="11"/>
      <c r="E116" s="3"/>
      <c r="F116" s="4"/>
      <c r="G116" s="4"/>
      <c r="H116" s="167"/>
      <c r="I116" s="4"/>
      <c r="J116" s="4"/>
      <c r="K116" s="5"/>
      <c r="L116" s="5"/>
      <c r="M116" s="5"/>
      <c r="N116" s="5"/>
      <c r="O116" s="5"/>
      <c r="P116" s="5"/>
      <c r="Q116" s="5"/>
      <c r="R116" s="5"/>
      <c r="S116" s="4"/>
      <c r="T116" s="6"/>
      <c r="U116" s="6"/>
      <c r="V116" s="221"/>
      <c r="W116" s="70"/>
      <c r="X116" s="32"/>
      <c r="Y116" s="32"/>
      <c r="Z116" s="32"/>
      <c r="AA116" s="18"/>
      <c r="AB116" s="18"/>
      <c r="AC116" s="18"/>
      <c r="AD116" s="18"/>
      <c r="AE116" s="18"/>
      <c r="AF116" s="18"/>
      <c r="AG116" s="18"/>
      <c r="AH116" s="155"/>
      <c r="AI116" s="18"/>
      <c r="AJ116" s="18"/>
      <c r="AK116" s="32"/>
      <c r="AL116" s="135"/>
      <c r="AM116" s="135"/>
      <c r="AN116" s="32"/>
      <c r="AO116" s="110"/>
      <c r="AP116" s="110"/>
      <c r="AQ116" s="110"/>
      <c r="AR116" s="108"/>
      <c r="AS116" s="108"/>
      <c r="AT116" s="108"/>
      <c r="AU116" s="108"/>
      <c r="AV116" s="108"/>
      <c r="AW116" s="108"/>
      <c r="AX116" s="108"/>
      <c r="AY116" s="108"/>
      <c r="AZ116" s="108"/>
      <c r="BA116" s="108"/>
      <c r="BB116" s="108"/>
      <c r="BC116" s="108"/>
      <c r="BD116" s="108"/>
      <c r="BE116" s="108"/>
      <c r="BF116" s="136"/>
      <c r="BG116" s="108"/>
      <c r="BH116" s="108"/>
      <c r="BI116" s="108"/>
      <c r="BJ116" s="108"/>
      <c r="BK116" s="108"/>
      <c r="BL116" s="108"/>
      <c r="BM116" s="108"/>
      <c r="BN116" s="108"/>
      <c r="BO116" s="108"/>
      <c r="BP116" s="108"/>
      <c r="BQ116" s="108"/>
      <c r="BR116" s="108"/>
    </row>
    <row r="117" spans="2:70" ht="13.5">
      <c r="B117" s="21"/>
      <c r="C117" s="10"/>
      <c r="D117" s="11"/>
      <c r="E117" s="3"/>
      <c r="F117" s="4"/>
      <c r="G117" s="4"/>
      <c r="H117" s="167"/>
      <c r="I117" s="4"/>
      <c r="J117" s="4"/>
      <c r="K117" s="49"/>
      <c r="L117" s="5"/>
      <c r="M117" s="5"/>
      <c r="N117" s="5"/>
      <c r="O117" s="5"/>
      <c r="P117" s="5"/>
      <c r="Q117" s="5"/>
      <c r="R117" s="5"/>
      <c r="S117" s="4"/>
      <c r="T117" s="6"/>
      <c r="U117" s="6"/>
      <c r="V117" s="54"/>
      <c r="W117" s="41"/>
      <c r="X117" s="32"/>
      <c r="Y117" s="32"/>
      <c r="Z117" s="32"/>
      <c r="AA117" s="18"/>
      <c r="AB117" s="18"/>
      <c r="AC117" s="18"/>
      <c r="AD117" s="18"/>
      <c r="AE117" s="18"/>
      <c r="AF117" s="18"/>
      <c r="AG117" s="18"/>
      <c r="AH117" s="18"/>
      <c r="AI117" s="18"/>
      <c r="AJ117" s="18"/>
      <c r="AK117" s="32"/>
      <c r="AL117" s="135"/>
      <c r="AM117" s="135"/>
      <c r="AN117" s="32"/>
      <c r="AO117" s="110"/>
      <c r="AP117" s="110"/>
      <c r="AQ117" s="110"/>
      <c r="AR117" s="108"/>
      <c r="AS117" s="108"/>
      <c r="AT117" s="108"/>
      <c r="AU117" s="108"/>
      <c r="AV117" s="108"/>
      <c r="AW117" s="108"/>
      <c r="AX117" s="108"/>
      <c r="AY117" s="108"/>
      <c r="AZ117" s="108"/>
      <c r="BA117" s="108"/>
      <c r="BB117" s="108"/>
      <c r="BC117" s="108"/>
      <c r="BD117" s="108"/>
      <c r="BE117" s="108"/>
      <c r="BF117" s="136"/>
      <c r="BG117" s="108"/>
      <c r="BH117" s="108"/>
      <c r="BI117" s="108"/>
      <c r="BJ117" s="108"/>
      <c r="BK117" s="108"/>
      <c r="BL117" s="108"/>
      <c r="BM117" s="108"/>
      <c r="BN117" s="108"/>
      <c r="BO117" s="108"/>
      <c r="BP117" s="108"/>
      <c r="BQ117" s="108"/>
      <c r="BR117" s="108"/>
    </row>
    <row r="118" spans="2:70" ht="13.5">
      <c r="B118" s="46"/>
      <c r="C118" s="20"/>
      <c r="D118" s="11"/>
      <c r="E118" s="3"/>
      <c r="F118" s="4"/>
      <c r="G118" s="4"/>
      <c r="H118" s="167"/>
      <c r="I118" s="4"/>
      <c r="J118" s="4"/>
      <c r="K118" s="49"/>
      <c r="L118" s="5"/>
      <c r="M118" s="5"/>
      <c r="N118" s="5"/>
      <c r="O118" s="5"/>
      <c r="P118" s="5"/>
      <c r="Q118" s="5"/>
      <c r="R118" s="5"/>
      <c r="S118" s="4"/>
      <c r="T118" s="6"/>
      <c r="U118" s="6"/>
      <c r="V118" s="5"/>
      <c r="W118" s="11"/>
      <c r="X118" s="32"/>
      <c r="Y118" s="32"/>
      <c r="Z118" s="32"/>
      <c r="AA118" s="18"/>
      <c r="AB118" s="18"/>
      <c r="AC118" s="18"/>
      <c r="AD118" s="18"/>
      <c r="AE118" s="18"/>
      <c r="AF118" s="18"/>
      <c r="AH118" s="18"/>
      <c r="AI118" s="18"/>
      <c r="AJ118" s="18"/>
      <c r="AK118" s="32"/>
      <c r="AL118" s="135"/>
      <c r="AM118" s="135"/>
      <c r="AN118" s="32"/>
      <c r="AO118" s="110"/>
      <c r="AP118" s="110"/>
      <c r="AQ118" s="110"/>
      <c r="AR118" s="108"/>
      <c r="AS118" s="108"/>
      <c r="AT118" s="108"/>
      <c r="AU118" s="108"/>
      <c r="AV118" s="108"/>
      <c r="AW118" s="108"/>
      <c r="AX118" s="108"/>
      <c r="AY118" s="108"/>
      <c r="AZ118" s="108"/>
      <c r="BA118" s="108"/>
      <c r="BB118" s="108"/>
      <c r="BC118" s="108"/>
      <c r="BD118" s="108"/>
      <c r="BE118" s="108"/>
      <c r="BF118" s="136"/>
      <c r="BG118" s="108"/>
      <c r="BH118" s="108"/>
      <c r="BI118" s="108"/>
      <c r="BJ118" s="108"/>
      <c r="BK118" s="108"/>
      <c r="BL118" s="108"/>
      <c r="BM118" s="108"/>
      <c r="BN118" s="108"/>
      <c r="BO118" s="108"/>
      <c r="BP118" s="108"/>
      <c r="BQ118" s="108"/>
      <c r="BR118" s="108"/>
    </row>
    <row r="119" spans="2:70" ht="13.5">
      <c r="B119" s="48"/>
      <c r="C119" s="48"/>
      <c r="D119" s="11"/>
      <c r="E119" s="3"/>
      <c r="F119" s="4"/>
      <c r="G119" s="4"/>
      <c r="H119" s="167"/>
      <c r="I119" s="4"/>
      <c r="J119" s="4"/>
      <c r="K119" s="60"/>
      <c r="L119" s="60"/>
      <c r="M119" s="60"/>
      <c r="N119" s="60"/>
      <c r="O119" s="60"/>
      <c r="P119" s="60"/>
      <c r="Q119" s="60"/>
      <c r="R119" s="60"/>
      <c r="S119" s="61"/>
      <c r="T119" s="63"/>
      <c r="U119" s="63"/>
      <c r="V119" s="60"/>
      <c r="W119" s="13"/>
      <c r="X119" s="114"/>
      <c r="Y119" s="114"/>
      <c r="Z119" s="114"/>
      <c r="AA119" s="138"/>
      <c r="AB119" s="148"/>
      <c r="AC119" s="148"/>
      <c r="AD119" s="148"/>
      <c r="AE119" s="148"/>
      <c r="AF119" s="148"/>
      <c r="AH119" s="147"/>
      <c r="AI119" s="147"/>
      <c r="AJ119" s="147"/>
      <c r="AK119" s="114"/>
      <c r="AL119" s="156"/>
      <c r="AM119" s="156"/>
      <c r="AN119" s="114"/>
      <c r="AO119" s="110"/>
      <c r="AP119" s="110"/>
      <c r="AQ119" s="110"/>
      <c r="AR119" s="108"/>
      <c r="AS119" s="108"/>
      <c r="AT119" s="108"/>
      <c r="AU119" s="108"/>
      <c r="AV119" s="108"/>
      <c r="AW119" s="108"/>
      <c r="AX119" s="108"/>
      <c r="AY119" s="108"/>
      <c r="AZ119" s="108"/>
      <c r="BA119" s="108"/>
      <c r="BB119" s="108"/>
      <c r="BC119" s="108"/>
      <c r="BD119" s="108"/>
      <c r="BE119" s="108"/>
      <c r="BF119" s="136"/>
      <c r="BG119" s="108"/>
      <c r="BH119" s="108"/>
      <c r="BI119" s="108"/>
      <c r="BJ119" s="108"/>
      <c r="BK119" s="108"/>
      <c r="BL119" s="108"/>
      <c r="BM119" s="108"/>
      <c r="BN119" s="108"/>
      <c r="BO119" s="108"/>
      <c r="BP119" s="108"/>
      <c r="BQ119" s="108"/>
      <c r="BR119" s="108"/>
    </row>
    <row r="120" spans="2:70" ht="13.5">
      <c r="B120" s="21"/>
      <c r="C120" s="21"/>
      <c r="D120" s="11"/>
      <c r="E120" s="3"/>
      <c r="F120" s="4"/>
      <c r="G120" s="4"/>
      <c r="H120" s="167"/>
      <c r="I120" s="4"/>
      <c r="J120" s="4"/>
      <c r="K120" s="72"/>
      <c r="L120" s="60"/>
      <c r="M120" s="60"/>
      <c r="N120" s="60"/>
      <c r="O120" s="60"/>
      <c r="P120" s="60"/>
      <c r="Q120" s="60"/>
      <c r="R120" s="60"/>
      <c r="S120" s="61"/>
      <c r="T120" s="63"/>
      <c r="U120" s="63"/>
      <c r="V120" s="222"/>
      <c r="W120" s="66"/>
      <c r="X120" s="114"/>
      <c r="Y120" s="114"/>
      <c r="Z120" s="114"/>
      <c r="AA120" s="138"/>
      <c r="AB120" s="147"/>
      <c r="AC120" s="147"/>
      <c r="AD120" s="147"/>
      <c r="AE120" s="147"/>
      <c r="AF120" s="147"/>
      <c r="AH120" s="147"/>
      <c r="AI120" s="147"/>
      <c r="AJ120" s="147"/>
      <c r="AK120" s="114"/>
      <c r="AL120" s="156"/>
      <c r="AM120" s="156"/>
      <c r="AN120" s="114"/>
      <c r="AO120" s="110"/>
      <c r="AP120" s="110"/>
      <c r="AQ120" s="110"/>
      <c r="AR120" s="108"/>
      <c r="AS120" s="108"/>
      <c r="AT120" s="108"/>
      <c r="AU120" s="108"/>
      <c r="AV120" s="108"/>
      <c r="AW120" s="108"/>
      <c r="AX120" s="108"/>
      <c r="AY120" s="108"/>
      <c r="AZ120" s="108"/>
      <c r="BA120" s="108"/>
      <c r="BB120" s="108"/>
      <c r="BC120" s="108"/>
      <c r="BD120" s="108"/>
      <c r="BE120" s="108"/>
      <c r="BF120" s="136"/>
      <c r="BG120" s="108"/>
      <c r="BH120" s="108"/>
      <c r="BI120" s="108"/>
      <c r="BJ120" s="108"/>
      <c r="BK120" s="108"/>
      <c r="BL120" s="108"/>
      <c r="BM120" s="108"/>
      <c r="BN120" s="108"/>
      <c r="BO120" s="108"/>
      <c r="BP120" s="108"/>
      <c r="BQ120" s="108"/>
      <c r="BR120" s="108"/>
    </row>
    <row r="121" spans="2:70" ht="13.5">
      <c r="B121" s="67"/>
      <c r="C121" s="67"/>
      <c r="D121" s="11"/>
      <c r="E121" s="3"/>
      <c r="F121" s="4"/>
      <c r="G121" s="4"/>
      <c r="H121" s="167"/>
      <c r="I121" s="4"/>
      <c r="J121" s="4"/>
      <c r="K121" s="49"/>
      <c r="L121" s="5"/>
      <c r="M121" s="4"/>
      <c r="N121" s="4"/>
      <c r="O121" s="4"/>
      <c r="P121" s="4"/>
      <c r="Q121" s="4"/>
      <c r="R121" s="4"/>
      <c r="S121" s="4"/>
      <c r="T121" s="6"/>
      <c r="U121" s="6"/>
      <c r="V121" s="5"/>
      <c r="W121" s="11"/>
      <c r="X121" s="111"/>
      <c r="Y121" s="32"/>
      <c r="Z121" s="32"/>
      <c r="AA121" s="108"/>
      <c r="AB121" s="135"/>
      <c r="AC121" s="135"/>
      <c r="AD121" s="135"/>
      <c r="AE121" s="135"/>
      <c r="AF121" s="135"/>
      <c r="AG121" s="135"/>
      <c r="AH121" s="135"/>
      <c r="AI121" s="135"/>
      <c r="AJ121" s="135"/>
      <c r="AK121" s="135"/>
      <c r="AL121" s="135"/>
      <c r="AM121" s="135"/>
      <c r="AN121" s="32"/>
      <c r="AO121" s="110"/>
      <c r="AP121" s="110"/>
      <c r="AQ121" s="110"/>
      <c r="AR121" s="108"/>
      <c r="AS121" s="108"/>
      <c r="AT121" s="108"/>
      <c r="AU121" s="108"/>
      <c r="AV121" s="108"/>
      <c r="AW121" s="108"/>
      <c r="AX121" s="108"/>
      <c r="AY121" s="108"/>
      <c r="AZ121" s="108"/>
      <c r="BA121" s="108"/>
      <c r="BB121" s="108"/>
      <c r="BC121" s="108"/>
      <c r="BD121" s="108"/>
      <c r="BE121" s="108"/>
      <c r="BF121" s="136"/>
      <c r="BG121" s="108"/>
      <c r="BH121" s="108"/>
      <c r="BI121" s="108"/>
      <c r="BJ121" s="108"/>
      <c r="BK121" s="108"/>
      <c r="BL121" s="108"/>
      <c r="BM121" s="108"/>
      <c r="BN121" s="108"/>
      <c r="BO121" s="108"/>
      <c r="BP121" s="108"/>
      <c r="BQ121" s="108"/>
      <c r="BR121" s="108"/>
    </row>
    <row r="122" spans="2:70" ht="13.5">
      <c r="B122" s="67"/>
      <c r="C122" s="67"/>
      <c r="D122" s="11"/>
      <c r="E122" s="3"/>
      <c r="F122" s="4"/>
      <c r="G122" s="4"/>
      <c r="H122" s="167"/>
      <c r="I122" s="4"/>
      <c r="J122" s="4"/>
      <c r="K122" s="49"/>
      <c r="L122" s="5"/>
      <c r="M122" s="2"/>
      <c r="N122" s="4"/>
      <c r="O122" s="4"/>
      <c r="P122" s="4"/>
      <c r="Q122" s="4"/>
      <c r="R122" s="4"/>
      <c r="S122" s="4"/>
      <c r="T122" s="6"/>
      <c r="U122" s="6"/>
      <c r="V122" s="5"/>
      <c r="W122" s="11"/>
      <c r="X122" s="111"/>
      <c r="Y122" s="32"/>
      <c r="Z122" s="32"/>
      <c r="AA122" s="108"/>
      <c r="AB122" s="135"/>
      <c r="AC122" s="135"/>
      <c r="AD122" s="135"/>
      <c r="AE122" s="135"/>
      <c r="AF122" s="135"/>
      <c r="AG122" s="135"/>
      <c r="AH122" s="135"/>
      <c r="AI122" s="135"/>
      <c r="AJ122" s="135"/>
      <c r="AK122" s="135"/>
      <c r="AL122" s="135"/>
      <c r="AM122" s="135"/>
      <c r="AN122" s="32"/>
      <c r="AO122" s="110"/>
      <c r="AP122" s="110"/>
      <c r="AQ122" s="110"/>
      <c r="AR122" s="108"/>
      <c r="AS122" s="108"/>
      <c r="AT122" s="108"/>
      <c r="AU122" s="108"/>
      <c r="AV122" s="108"/>
      <c r="AW122" s="108"/>
      <c r="AX122" s="108"/>
      <c r="AY122" s="108"/>
      <c r="AZ122" s="108"/>
      <c r="BA122" s="108"/>
      <c r="BB122" s="108"/>
      <c r="BC122" s="108"/>
      <c r="BD122" s="108"/>
      <c r="BE122" s="108"/>
      <c r="BF122" s="136"/>
      <c r="BG122" s="108"/>
      <c r="BH122" s="108"/>
      <c r="BI122" s="108"/>
      <c r="BJ122" s="108"/>
      <c r="BK122" s="108"/>
      <c r="BL122" s="108"/>
      <c r="BM122" s="108"/>
      <c r="BN122" s="108"/>
      <c r="BO122" s="108"/>
      <c r="BP122" s="108"/>
      <c r="BQ122" s="108"/>
      <c r="BR122" s="108"/>
    </row>
    <row r="123" spans="2:70" ht="13.5">
      <c r="B123" s="21"/>
      <c r="C123" s="21"/>
      <c r="D123" s="11"/>
      <c r="E123" s="3"/>
      <c r="F123" s="4"/>
      <c r="G123" s="4"/>
      <c r="H123" s="167"/>
      <c r="I123" s="4"/>
      <c r="J123" s="4"/>
      <c r="K123" s="5"/>
      <c r="L123" s="4"/>
      <c r="M123" s="4"/>
      <c r="N123" s="4"/>
      <c r="O123" s="4"/>
      <c r="P123" s="4"/>
      <c r="Q123" s="4"/>
      <c r="R123" s="4"/>
      <c r="S123" s="4"/>
      <c r="T123" s="6"/>
      <c r="U123" s="6"/>
      <c r="V123" s="54"/>
      <c r="W123" s="41"/>
      <c r="X123" s="142"/>
      <c r="Y123" s="32"/>
      <c r="Z123" s="32"/>
      <c r="AA123" s="108"/>
      <c r="AB123" s="32"/>
      <c r="AC123" s="32"/>
      <c r="AD123" s="32"/>
      <c r="AE123" s="32"/>
      <c r="AF123" s="32"/>
      <c r="AG123" s="135"/>
      <c r="AH123" s="135"/>
      <c r="AI123" s="135"/>
      <c r="AJ123" s="157"/>
      <c r="AK123" s="157"/>
      <c r="AL123" s="150"/>
      <c r="AM123" s="135"/>
      <c r="AN123" s="32"/>
      <c r="AO123" s="110"/>
      <c r="AP123" s="110"/>
      <c r="AQ123" s="110"/>
      <c r="AR123" s="108"/>
      <c r="AS123" s="108"/>
      <c r="AT123" s="108"/>
      <c r="AU123" s="108"/>
      <c r="AV123" s="108"/>
      <c r="AW123" s="108"/>
      <c r="AX123" s="108"/>
      <c r="AY123" s="108"/>
      <c r="AZ123" s="108"/>
      <c r="BA123" s="108"/>
      <c r="BB123" s="108"/>
      <c r="BC123" s="108"/>
      <c r="BD123" s="108"/>
      <c r="BE123" s="108"/>
      <c r="BF123" s="136"/>
      <c r="BG123" s="108"/>
      <c r="BH123" s="108"/>
      <c r="BI123" s="108"/>
      <c r="BJ123" s="108"/>
      <c r="BK123" s="108"/>
      <c r="BL123" s="108"/>
      <c r="BM123" s="108"/>
      <c r="BN123" s="108"/>
      <c r="BO123" s="108"/>
      <c r="BP123" s="108"/>
      <c r="BQ123" s="108"/>
      <c r="BR123" s="108"/>
    </row>
    <row r="124" spans="2:70" ht="13.5">
      <c r="B124" s="21"/>
      <c r="C124" s="21"/>
      <c r="D124" s="11"/>
      <c r="E124" s="3"/>
      <c r="F124" s="4"/>
      <c r="G124" s="4"/>
      <c r="H124" s="167"/>
      <c r="I124" s="4"/>
      <c r="J124" s="4"/>
      <c r="K124" s="5"/>
      <c r="L124" s="4"/>
      <c r="M124" s="4"/>
      <c r="N124" s="4"/>
      <c r="O124" s="4"/>
      <c r="P124" s="4"/>
      <c r="Q124" s="4"/>
      <c r="R124" s="4"/>
      <c r="S124" s="4"/>
      <c r="T124" s="6"/>
      <c r="U124" s="6"/>
      <c r="V124" s="5"/>
      <c r="W124" s="11"/>
      <c r="X124" s="111"/>
      <c r="Y124" s="32"/>
      <c r="Z124" s="32"/>
      <c r="AA124" s="108"/>
      <c r="AB124" s="32"/>
      <c r="AC124" s="32"/>
      <c r="AD124" s="32"/>
      <c r="AE124" s="32"/>
      <c r="AF124" s="32"/>
      <c r="AG124" s="135"/>
      <c r="AH124" s="135"/>
      <c r="AI124" s="135"/>
      <c r="AJ124" s="157"/>
      <c r="AK124" s="157"/>
      <c r="AL124" s="150"/>
      <c r="AM124" s="135"/>
      <c r="AN124" s="32"/>
      <c r="AO124" s="110"/>
      <c r="AP124" s="110"/>
      <c r="AQ124" s="110"/>
      <c r="AR124" s="108"/>
      <c r="AS124" s="108"/>
      <c r="AT124" s="108"/>
      <c r="AU124" s="108"/>
      <c r="AV124" s="108"/>
      <c r="AW124" s="108"/>
      <c r="AX124" s="108"/>
      <c r="AY124" s="108"/>
      <c r="AZ124" s="108"/>
      <c r="BA124" s="108"/>
      <c r="BB124" s="108"/>
      <c r="BC124" s="108"/>
      <c r="BD124" s="108"/>
      <c r="BE124" s="108"/>
      <c r="BF124" s="136"/>
      <c r="BG124" s="108"/>
      <c r="BH124" s="108"/>
      <c r="BI124" s="108"/>
      <c r="BJ124" s="108"/>
      <c r="BK124" s="108"/>
      <c r="BL124" s="108"/>
      <c r="BM124" s="108"/>
      <c r="BN124" s="108"/>
      <c r="BO124" s="108"/>
      <c r="BP124" s="108"/>
      <c r="BQ124" s="108"/>
      <c r="BR124" s="108"/>
    </row>
    <row r="125" spans="2:70" ht="13.5">
      <c r="B125" s="46"/>
      <c r="C125" s="46"/>
      <c r="D125" s="11"/>
      <c r="E125" s="3"/>
      <c r="F125" s="4"/>
      <c r="G125" s="4"/>
      <c r="H125" s="167"/>
      <c r="I125" s="4"/>
      <c r="J125" s="4"/>
      <c r="K125" s="5"/>
      <c r="L125" s="4"/>
      <c r="M125" s="4"/>
      <c r="N125" s="4"/>
      <c r="O125" s="4"/>
      <c r="P125" s="4"/>
      <c r="Q125" s="4"/>
      <c r="R125" s="4"/>
      <c r="S125" s="4"/>
      <c r="T125" s="6"/>
      <c r="U125" s="6"/>
      <c r="V125" s="5"/>
      <c r="W125" s="11"/>
      <c r="X125" s="111"/>
      <c r="Y125" s="32"/>
      <c r="Z125" s="32"/>
      <c r="AA125" s="18"/>
      <c r="AB125" s="18"/>
      <c r="AC125" s="18"/>
      <c r="AD125" s="18"/>
      <c r="AE125" s="18"/>
      <c r="AF125" s="18"/>
      <c r="AG125" s="18" t="s">
        <v>37</v>
      </c>
      <c r="AH125" s="135"/>
      <c r="AI125" s="135"/>
      <c r="AJ125" s="157"/>
      <c r="AK125" s="157"/>
      <c r="AL125" s="150"/>
      <c r="AM125" s="135"/>
      <c r="AN125" s="32"/>
      <c r="AO125" s="110"/>
      <c r="AP125" s="110"/>
      <c r="AQ125" s="110"/>
      <c r="AR125" s="108"/>
      <c r="AS125" s="108"/>
      <c r="AT125" s="108"/>
      <c r="AU125" s="108"/>
      <c r="AV125" s="108"/>
      <c r="AW125" s="108"/>
      <c r="AX125" s="108"/>
      <c r="AY125" s="108"/>
      <c r="AZ125" s="108"/>
      <c r="BA125" s="108"/>
      <c r="BB125" s="108"/>
      <c r="BC125" s="108"/>
      <c r="BD125" s="108"/>
      <c r="BE125" s="108"/>
      <c r="BF125" s="136"/>
      <c r="BG125" s="108"/>
      <c r="BH125" s="108"/>
      <c r="BI125" s="108"/>
      <c r="BJ125" s="108"/>
      <c r="BK125" s="108"/>
      <c r="BL125" s="108"/>
      <c r="BM125" s="108"/>
      <c r="BN125" s="108"/>
      <c r="BO125" s="108"/>
      <c r="BP125" s="108"/>
      <c r="BQ125" s="108"/>
      <c r="BR125" s="108"/>
    </row>
    <row r="126" spans="2:70" ht="13.5">
      <c r="B126" s="48"/>
      <c r="C126" s="48"/>
      <c r="D126" s="11"/>
      <c r="E126" s="3"/>
      <c r="F126" s="4"/>
      <c r="G126" s="4"/>
      <c r="H126" s="167"/>
      <c r="I126" s="4"/>
      <c r="J126" s="4"/>
      <c r="K126" s="72"/>
      <c r="L126" s="61"/>
      <c r="M126" s="61"/>
      <c r="N126" s="61"/>
      <c r="O126" s="61"/>
      <c r="P126" s="61"/>
      <c r="Q126" s="61"/>
      <c r="R126" s="61"/>
      <c r="S126" s="61"/>
      <c r="T126" s="63"/>
      <c r="U126" s="63"/>
      <c r="V126" s="60"/>
      <c r="W126" s="13"/>
      <c r="X126" s="158"/>
      <c r="Y126" s="114"/>
      <c r="Z126" s="114"/>
      <c r="AA126" s="138"/>
      <c r="AB126" s="148"/>
      <c r="AC126" s="148"/>
      <c r="AD126" s="148"/>
      <c r="AE126" s="148"/>
      <c r="AF126" s="148"/>
      <c r="AG126" s="159" t="s">
        <v>38</v>
      </c>
      <c r="AH126" s="156"/>
      <c r="AI126" s="156"/>
      <c r="AJ126" s="160"/>
      <c r="AK126" s="160"/>
      <c r="AL126" s="152"/>
      <c r="AM126" s="156"/>
      <c r="AN126" s="114"/>
      <c r="AO126" s="110"/>
      <c r="AP126" s="110"/>
      <c r="AQ126" s="110"/>
      <c r="AR126" s="108"/>
      <c r="AS126" s="108"/>
      <c r="AT126" s="108"/>
      <c r="AU126" s="108"/>
      <c r="AV126" s="108"/>
      <c r="AW126" s="108"/>
      <c r="AX126" s="108"/>
      <c r="AY126" s="108"/>
      <c r="AZ126" s="108"/>
      <c r="BA126" s="108"/>
      <c r="BB126" s="108"/>
      <c r="BC126" s="108"/>
      <c r="BD126" s="108"/>
      <c r="BE126" s="108"/>
      <c r="BF126" s="136"/>
      <c r="BG126" s="108"/>
      <c r="BH126" s="108"/>
      <c r="BI126" s="108"/>
      <c r="BJ126" s="108"/>
      <c r="BK126" s="108"/>
      <c r="BL126" s="108"/>
      <c r="BM126" s="108"/>
      <c r="BN126" s="108"/>
      <c r="BO126" s="108"/>
      <c r="BP126" s="108"/>
      <c r="BQ126" s="108"/>
      <c r="BR126" s="108"/>
    </row>
    <row r="127" spans="2:70" ht="13.5">
      <c r="B127" s="21"/>
      <c r="C127" s="21"/>
      <c r="D127" s="11"/>
      <c r="E127" s="3"/>
      <c r="F127" s="4"/>
      <c r="G127" s="4"/>
      <c r="H127" s="167"/>
      <c r="I127" s="4"/>
      <c r="J127" s="4"/>
      <c r="K127" s="49"/>
      <c r="L127" s="4"/>
      <c r="M127" s="4"/>
      <c r="N127" s="4"/>
      <c r="O127" s="4"/>
      <c r="P127" s="4"/>
      <c r="Q127" s="4"/>
      <c r="R127" s="4"/>
      <c r="S127" s="4"/>
      <c r="T127" s="6"/>
      <c r="U127" s="6"/>
      <c r="V127" s="54"/>
      <c r="W127" s="41"/>
      <c r="X127" s="142"/>
      <c r="Y127" s="32"/>
      <c r="Z127" s="32"/>
      <c r="AA127" s="108"/>
      <c r="AB127" s="32"/>
      <c r="AC127" s="32"/>
      <c r="AD127" s="32"/>
      <c r="AE127" s="32"/>
      <c r="AF127" s="32"/>
      <c r="AG127" s="135"/>
      <c r="AH127" s="135"/>
      <c r="AI127" s="135"/>
      <c r="AJ127" s="157"/>
      <c r="AK127" s="157"/>
      <c r="AL127" s="150"/>
      <c r="AM127" s="135"/>
      <c r="AN127" s="32"/>
      <c r="AO127" s="110"/>
      <c r="AP127" s="110"/>
      <c r="AQ127" s="110"/>
      <c r="AR127" s="108"/>
      <c r="AS127" s="108"/>
      <c r="AT127" s="108"/>
      <c r="AU127" s="108"/>
      <c r="AV127" s="108"/>
      <c r="AW127" s="108"/>
      <c r="AX127" s="108"/>
      <c r="AY127" s="108"/>
      <c r="AZ127" s="108"/>
      <c r="BA127" s="108"/>
      <c r="BB127" s="108"/>
      <c r="BC127" s="108"/>
      <c r="BD127" s="108"/>
      <c r="BE127" s="108"/>
      <c r="BF127" s="136"/>
      <c r="BG127" s="108"/>
      <c r="BH127" s="108"/>
      <c r="BI127" s="108"/>
      <c r="BJ127" s="108"/>
      <c r="BK127" s="108"/>
      <c r="BL127" s="108"/>
      <c r="BM127" s="108"/>
      <c r="BN127" s="108"/>
      <c r="BO127" s="108"/>
      <c r="BP127" s="108"/>
      <c r="BQ127" s="108"/>
      <c r="BR127" s="108"/>
    </row>
    <row r="128" spans="2:70" ht="13.5">
      <c r="B128" s="67"/>
      <c r="C128" s="67"/>
      <c r="D128" s="11"/>
      <c r="E128" s="3"/>
      <c r="F128" s="4"/>
      <c r="G128" s="4"/>
      <c r="H128" s="167"/>
      <c r="I128" s="4"/>
      <c r="J128" s="4"/>
      <c r="K128" s="5"/>
      <c r="L128" s="4"/>
      <c r="M128" s="53"/>
      <c r="N128" s="4"/>
      <c r="O128" s="53"/>
      <c r="P128" s="53"/>
      <c r="Q128" s="53"/>
      <c r="R128" s="53"/>
      <c r="S128" s="4"/>
      <c r="T128" s="6"/>
      <c r="U128" s="6"/>
      <c r="V128" s="5"/>
      <c r="W128" s="11"/>
      <c r="X128" s="111"/>
      <c r="Y128" s="32"/>
      <c r="Z128" s="32"/>
      <c r="AA128" s="108"/>
      <c r="AB128" s="135"/>
      <c r="AC128" s="135"/>
      <c r="AD128" s="135"/>
      <c r="AE128" s="135"/>
      <c r="AF128" s="135"/>
      <c r="AG128" s="135"/>
      <c r="AH128" s="135"/>
      <c r="AI128" s="135"/>
      <c r="AJ128" s="135"/>
      <c r="AK128" s="135"/>
      <c r="AL128" s="135"/>
      <c r="AM128" s="135"/>
      <c r="AN128" s="32"/>
      <c r="AO128" s="110"/>
      <c r="AP128" s="110"/>
      <c r="AQ128" s="110"/>
      <c r="AR128" s="108"/>
      <c r="AS128" s="108"/>
      <c r="AT128" s="108"/>
      <c r="AU128" s="108"/>
      <c r="AV128" s="108"/>
      <c r="AW128" s="108"/>
      <c r="AX128" s="108"/>
      <c r="AY128" s="108"/>
      <c r="AZ128" s="108"/>
      <c r="BA128" s="108"/>
      <c r="BB128" s="108"/>
      <c r="BC128" s="108"/>
      <c r="BD128" s="108"/>
      <c r="BE128" s="108"/>
      <c r="BF128" s="136"/>
      <c r="BG128" s="108"/>
      <c r="BH128" s="108"/>
      <c r="BI128" s="108"/>
      <c r="BJ128" s="108"/>
      <c r="BK128" s="108"/>
      <c r="BL128" s="108"/>
      <c r="BM128" s="108"/>
      <c r="BN128" s="108"/>
      <c r="BO128" s="108"/>
      <c r="BP128" s="108"/>
      <c r="BQ128" s="108"/>
      <c r="BR128" s="108"/>
    </row>
    <row r="129" spans="2:70" ht="13.5">
      <c r="B129" s="21"/>
      <c r="C129" s="11"/>
      <c r="D129" s="11"/>
      <c r="E129" s="3"/>
      <c r="F129" s="4"/>
      <c r="G129" s="4"/>
      <c r="H129" s="167"/>
      <c r="I129" s="4"/>
      <c r="J129" s="4"/>
      <c r="K129" s="5"/>
      <c r="L129" s="4"/>
      <c r="M129" s="53"/>
      <c r="N129" s="4"/>
      <c r="O129" s="53"/>
      <c r="P129" s="53"/>
      <c r="Q129" s="53"/>
      <c r="R129" s="53"/>
      <c r="S129" s="4"/>
      <c r="T129" s="6"/>
      <c r="U129" s="6"/>
      <c r="V129" s="5"/>
      <c r="W129" s="11"/>
      <c r="X129" s="111"/>
      <c r="Y129" s="32"/>
      <c r="Z129" s="135"/>
      <c r="AA129" s="108"/>
      <c r="AB129" s="32"/>
      <c r="AC129" s="32"/>
      <c r="AD129" s="32"/>
      <c r="AE129" s="32"/>
      <c r="AF129" s="32"/>
      <c r="AG129" s="135"/>
      <c r="AH129" s="135"/>
      <c r="AI129" s="108"/>
      <c r="AJ129" s="135"/>
      <c r="AK129" s="135"/>
      <c r="AL129" s="135"/>
      <c r="AM129" s="135"/>
      <c r="AN129" s="32"/>
      <c r="AO129" s="110"/>
      <c r="AP129" s="110"/>
      <c r="AQ129" s="110"/>
      <c r="AR129" s="108"/>
      <c r="AS129" s="108"/>
      <c r="AT129" s="108"/>
      <c r="AU129" s="108"/>
      <c r="AV129" s="108"/>
      <c r="AW129" s="108"/>
      <c r="AX129" s="108"/>
      <c r="AY129" s="108"/>
      <c r="AZ129" s="108"/>
      <c r="BA129" s="108"/>
      <c r="BB129" s="108"/>
      <c r="BC129" s="108"/>
      <c r="BD129" s="108"/>
      <c r="BE129" s="108"/>
      <c r="BF129" s="136"/>
      <c r="BG129" s="108"/>
      <c r="BH129" s="108"/>
      <c r="BI129" s="108"/>
      <c r="BJ129" s="108"/>
      <c r="BK129" s="108"/>
      <c r="BL129" s="108"/>
      <c r="BM129" s="108"/>
      <c r="BN129" s="108"/>
      <c r="BO129" s="108"/>
      <c r="BP129" s="108"/>
      <c r="BQ129" s="108"/>
      <c r="BR129" s="108"/>
    </row>
    <row r="130" spans="2:70" ht="13.5">
      <c r="B130" s="21"/>
      <c r="C130" s="11"/>
      <c r="D130" s="11"/>
      <c r="E130" s="3"/>
      <c r="F130" s="4"/>
      <c r="G130" s="4"/>
      <c r="H130" s="167"/>
      <c r="I130" s="4"/>
      <c r="J130" s="4"/>
      <c r="K130" s="5"/>
      <c r="L130" s="4"/>
      <c r="M130" s="4"/>
      <c r="N130" s="4"/>
      <c r="O130" s="4"/>
      <c r="P130" s="4"/>
      <c r="Q130" s="4"/>
      <c r="R130" s="4"/>
      <c r="S130" s="4"/>
      <c r="T130" s="6"/>
      <c r="U130" s="6"/>
      <c r="V130" s="4"/>
      <c r="W130" s="4"/>
      <c r="X130" s="18"/>
      <c r="Y130" s="32"/>
      <c r="Z130" s="135"/>
      <c r="AA130" s="108"/>
      <c r="AB130" s="32"/>
      <c r="AC130" s="32"/>
      <c r="AD130" s="32"/>
      <c r="AE130" s="32"/>
      <c r="AF130" s="32"/>
      <c r="AG130" s="135"/>
      <c r="AH130" s="135"/>
      <c r="AI130" s="108"/>
      <c r="AJ130" s="135"/>
      <c r="AK130" s="135"/>
      <c r="AL130" s="135"/>
      <c r="AM130" s="135"/>
      <c r="AN130" s="32"/>
      <c r="AO130" s="110"/>
      <c r="AP130" s="110"/>
      <c r="AQ130" s="110"/>
      <c r="AR130" s="108"/>
      <c r="AS130" s="108"/>
      <c r="AT130" s="108"/>
      <c r="AU130" s="108"/>
      <c r="AV130" s="108"/>
      <c r="AW130" s="108"/>
      <c r="AX130" s="108"/>
      <c r="AY130" s="108"/>
      <c r="AZ130" s="108"/>
      <c r="BA130" s="108"/>
      <c r="BB130" s="108"/>
      <c r="BC130" s="108"/>
      <c r="BD130" s="108"/>
      <c r="BE130" s="108"/>
      <c r="BF130" s="136"/>
      <c r="BG130" s="108"/>
      <c r="BH130" s="108"/>
      <c r="BI130" s="108"/>
      <c r="BJ130" s="108"/>
      <c r="BK130" s="108"/>
      <c r="BL130" s="108"/>
      <c r="BM130" s="108"/>
      <c r="BN130" s="108"/>
      <c r="BO130" s="108"/>
      <c r="BP130" s="108"/>
      <c r="BQ130" s="108"/>
      <c r="BR130" s="108"/>
    </row>
    <row r="131" spans="2:70" ht="13.5">
      <c r="B131" s="21"/>
      <c r="C131" s="11"/>
      <c r="D131" s="11"/>
      <c r="E131" s="3"/>
      <c r="F131" s="4"/>
      <c r="G131" s="4"/>
      <c r="H131" s="167"/>
      <c r="I131" s="4"/>
      <c r="J131" s="4"/>
      <c r="K131" s="49"/>
      <c r="L131" s="1"/>
      <c r="M131" s="4"/>
      <c r="N131" s="4"/>
      <c r="O131" s="4"/>
      <c r="P131" s="4"/>
      <c r="Q131" s="4"/>
      <c r="R131" s="4"/>
      <c r="S131" s="4"/>
      <c r="T131" s="6"/>
      <c r="U131" s="6"/>
      <c r="V131" s="4"/>
      <c r="W131" s="4"/>
      <c r="X131" s="18"/>
      <c r="Y131" s="32"/>
      <c r="Z131" s="135"/>
      <c r="AA131" s="108"/>
      <c r="AB131" s="32"/>
      <c r="AC131" s="32"/>
      <c r="AD131" s="32"/>
      <c r="AE131" s="32"/>
      <c r="AF131" s="32"/>
      <c r="AG131" s="135"/>
      <c r="AH131" s="135"/>
      <c r="AI131" s="108"/>
      <c r="AJ131" s="135"/>
      <c r="AK131" s="135"/>
      <c r="AL131" s="135"/>
      <c r="AM131" s="135"/>
      <c r="AN131" s="32"/>
      <c r="AO131" s="110"/>
      <c r="AP131" s="110"/>
      <c r="AQ131" s="110"/>
      <c r="AR131" s="108"/>
      <c r="AS131" s="108"/>
      <c r="AT131" s="108"/>
      <c r="AU131" s="108"/>
      <c r="AV131" s="108"/>
      <c r="AW131" s="108"/>
      <c r="AX131" s="108"/>
      <c r="AY131" s="108"/>
      <c r="AZ131" s="108"/>
      <c r="BA131" s="108"/>
      <c r="BB131" s="108"/>
      <c r="BC131" s="108"/>
      <c r="BD131" s="108"/>
      <c r="BE131" s="108"/>
      <c r="BF131" s="136"/>
      <c r="BG131" s="108"/>
      <c r="BH131" s="108"/>
      <c r="BI131" s="108"/>
      <c r="BJ131" s="108"/>
      <c r="BK131" s="108"/>
      <c r="BL131" s="108"/>
      <c r="BM131" s="108"/>
      <c r="BN131" s="108"/>
      <c r="BO131" s="108"/>
      <c r="BP131" s="108"/>
      <c r="BQ131" s="108"/>
      <c r="BR131" s="108"/>
    </row>
    <row r="132" spans="2:70" ht="13.5">
      <c r="B132" s="21"/>
      <c r="C132" s="11"/>
      <c r="D132" s="11"/>
      <c r="E132" s="3"/>
      <c r="F132" s="4"/>
      <c r="G132" s="4"/>
      <c r="H132" s="167"/>
      <c r="I132" s="4"/>
      <c r="J132" s="4"/>
      <c r="K132" s="49"/>
      <c r="L132" s="73"/>
      <c r="M132" s="4"/>
      <c r="N132" s="4"/>
      <c r="O132" s="4"/>
      <c r="P132" s="4"/>
      <c r="Q132" s="4"/>
      <c r="R132" s="4"/>
      <c r="S132" s="4"/>
      <c r="T132" s="6"/>
      <c r="U132" s="6"/>
      <c r="V132" s="4"/>
      <c r="W132" s="4"/>
      <c r="X132" s="18"/>
      <c r="Y132" s="32"/>
      <c r="Z132" s="32"/>
      <c r="AA132" s="108"/>
      <c r="AB132" s="135"/>
      <c r="AC132" s="135"/>
      <c r="AD132" s="135"/>
      <c r="AE132" s="135"/>
      <c r="AF132" s="135"/>
      <c r="AG132" s="135"/>
      <c r="AH132" s="135"/>
      <c r="AI132" s="135"/>
      <c r="AJ132" s="135"/>
      <c r="AK132" s="135"/>
      <c r="AL132" s="135"/>
      <c r="AM132" s="135"/>
      <c r="AN132" s="32"/>
      <c r="AO132" s="110"/>
      <c r="AP132" s="110"/>
      <c r="AQ132" s="110"/>
      <c r="AR132" s="108"/>
      <c r="AS132" s="108"/>
      <c r="AT132" s="108"/>
      <c r="AU132" s="108"/>
      <c r="AV132" s="108"/>
      <c r="AW132" s="108"/>
      <c r="AX132" s="108"/>
      <c r="AY132" s="108"/>
      <c r="AZ132" s="108"/>
      <c r="BA132" s="108"/>
      <c r="BB132" s="108"/>
      <c r="BC132" s="108"/>
      <c r="BD132" s="108"/>
      <c r="BE132" s="108"/>
      <c r="BF132" s="136"/>
      <c r="BG132" s="108"/>
      <c r="BH132" s="108"/>
      <c r="BI132" s="108"/>
      <c r="BJ132" s="108"/>
      <c r="BK132" s="108"/>
      <c r="BL132" s="108"/>
      <c r="BM132" s="108"/>
      <c r="BN132" s="108"/>
      <c r="BO132" s="108"/>
      <c r="BP132" s="108"/>
      <c r="BQ132" s="108"/>
      <c r="BR132" s="108"/>
    </row>
  </sheetData>
  <sheetProtection password="80FD" sheet="1" objects="1" scenarios="1"/>
  <conditionalFormatting sqref="D81:D83 D59:D66 I88 J82:J85 I59:I66 D72:D77 D88 J78:J79 I72:I75 I81:I82">
    <cfRule type="expression" priority="1" dxfId="0" stopIfTrue="1">
      <formula>0</formula>
    </cfRule>
  </conditionalFormatting>
  <conditionalFormatting sqref="H67:H68 H56:H58">
    <cfRule type="cellIs" priority="2" dxfId="1" operator="equal" stopIfTrue="1">
      <formula>5</formula>
    </cfRule>
  </conditionalFormatting>
  <conditionalFormatting sqref="I7:I54 T7:T52">
    <cfRule type="cellIs" priority="3" dxfId="2" operator="equal" stopIfTrue="1">
      <formula>5</formula>
    </cfRule>
  </conditionalFormatting>
  <hyperlinks>
    <hyperlink ref="V18" r:id="rId1" display="The Top Corner World League"/>
  </hyperlinks>
  <printOptions/>
  <pageMargins left="0.75" right="0.75" top="1" bottom="1" header="0.5" footer="0.5"/>
  <pageSetup horizontalDpi="600" verticalDpi="600" orientation="portrait" paperSize="9" r:id="rId3"/>
  <ignoredErrors>
    <ignoredError sqref="E73:E74 H73:H74"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Top Corner Events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Burns</dc:creator>
  <cp:keywords/>
  <dc:description/>
  <cp:lastModifiedBy>malzarou</cp:lastModifiedBy>
  <dcterms:created xsi:type="dcterms:W3CDTF">2004-04-01T10:01:09Z</dcterms:created>
  <dcterms:modified xsi:type="dcterms:W3CDTF">2006-05-24T07:22:43Z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